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08" i="1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<sst xmlns="http://schemas.openxmlformats.org/spreadsheetml/2006/main" count="3504" uniqueCount="1535">
  <si>
    <t>ИНФРА-М Научно-издательский Центр</t>
  </si>
  <si>
    <t>10. Сельское, лесное, рыбное хозяйство (для учебных заведений и библиотек)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</si>
  <si>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</si>
  <si>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</si>
  <si>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</si>
  <si>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</si>
  <si>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</si>
  <si>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</si>
  <si>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</si>
  <si>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</si>
  <si>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</si>
  <si>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</si>
  <si>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</si>
  <si>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</si>
  <si>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</si>
  <si>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</si>
  <si>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</si>
  <si>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</si>
  <si>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</si>
  <si>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</si>
  <si>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</si>
  <si>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</si>
  <si>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</si>
  <si>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</si>
  <si>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</si>
  <si>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</si>
  <si>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</si>
  <si>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</si>
  <si>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</si>
  <si>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</si>
  <si>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</si>
  <si>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</si>
  <si>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</si>
  <si>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159000.10.01</t>
  </si>
  <si>
    <t>Агробиологические основы производ., хран. и перераб..: Уч. пос. / Г.И.Баздырев - ИНФРА-М,2023 - 725 с(ВО) (п)</t>
  </si>
  <si>
    <t>АГРОБИОЛОГИЧЕСКИЕ ОСНОВЫ ПРОИЗВОДСТВА, ХРАНЕНИЯ И ПЕРЕРАБОТКИ ПРОДУКЦИИ РАСТЕНИЕВОДСТВА</t>
  </si>
  <si>
    <t>Баздырев Г. И., Сафонов А. Ф., Мякиньков А. Г., Баздырев Г. И.</t>
  </si>
  <si>
    <t>Переплет 7БЦ</t>
  </si>
  <si>
    <t>НИЦ ИНФРА-М</t>
  </si>
  <si>
    <t>Высшее образование: Бакалавриат</t>
  </si>
  <si>
    <t>978-5-16-006222-8</t>
  </si>
  <si>
    <t>ПРИКЛАДНЫЕ НАУКИ. ТЕХНИКА. МЕДИЦИНА</t>
  </si>
  <si>
    <t>Сельское хозяйство</t>
  </si>
  <si>
    <t>Учебное пособие</t>
  </si>
  <si>
    <t>Профессиональное образование / ВО - Бакалавриат</t>
  </si>
  <si>
    <t>35.03.05, 35.03.07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</si>
  <si>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 по агроэкономическим и агротехнологическим специальностям</t>
  </si>
  <si>
    <t>Российский государственный аграрный университет - МСХА им. К.А. Тимирязева</t>
  </si>
  <si>
    <t>0114</t>
  </si>
  <si>
    <t>682813.05.01</t>
  </si>
  <si>
    <t>Агробиологические основы производства, хранения..: Уч.пос. / Баздырев Г.И.-М.:НИЦ ИНФРА-М,2024-725с(п)</t>
  </si>
  <si>
    <t>Баздырев Г.И., Сафонов А.Ф., Андреев Ю.М. и др.</t>
  </si>
  <si>
    <t>Переплет 7БЦ/Без шитья</t>
  </si>
  <si>
    <t>Среднее профессиональное образование</t>
  </si>
  <si>
    <t>978-5-16-013876-3</t>
  </si>
  <si>
    <t>Профессиональное образование / Среднее профессиональное образование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</si>
  <si>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</si>
  <si>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</si>
  <si>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32</t>
  </si>
  <si>
    <t>0119</t>
  </si>
  <si>
    <t>291400.13.01</t>
  </si>
  <si>
    <t>Агрометеорология: Уч. / Л.Л.Журина - 3 изд. - М.:НИЦ ИНФРА-М,2024 - 350 с.-(ВО)(п)</t>
  </si>
  <si>
    <t>АГРОМЕТЕОРОЛОГИЯ, ИЗД.3</t>
  </si>
  <si>
    <t>Журина Л.Л.</t>
  </si>
  <si>
    <t>Высшее образование</t>
  </si>
  <si>
    <t>978-5-16-019562-9</t>
  </si>
  <si>
    <t>Учебник</t>
  </si>
  <si>
    <t>35.03.03, 35.03.04</t>
  </si>
  <si>
    <t>Допущено Министерством сельского хозяйства Российской Федерации в качестве учебника для студентов высших учебных заведений по направлениям подготовки 35.03.03 «Агрохимия и агропочвоведение", 35.03.04 -Агрономия" и 35.03.05 "Садоводство»</t>
  </si>
  <si>
    <t>Санкт-Петербургский государственный аграрный университет</t>
  </si>
  <si>
    <t>0315</t>
  </si>
  <si>
    <t>682791.03.01</t>
  </si>
  <si>
    <t>Агрометеорология: Уч. / Л.Л.Журина - 3 изд. - М.:НИЦ ИНФРА-М,2024 - 350 с.-(СПО)(П)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</si>
  <si>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</si>
  <si>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</si>
  <si>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</si>
  <si>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0319</t>
  </si>
  <si>
    <t>813215.01.01</t>
  </si>
  <si>
    <t>Агрохимические методы исслед.: лаб. прак.: Уч.пос. / Е.Н.Белоусова-М.:НИЦ ИНФРА-М,2024.-192 с.(ВО)(п)</t>
  </si>
  <si>
    <t>АГРОХИМИЧЕСКИЕ МЕТОДЫ ИССЛЕДОВАНИЙ: ЛАБОРАТОРНЫЙ ПРАКТИКУМ</t>
  </si>
  <si>
    <t>Белоусова Е.Н.</t>
  </si>
  <si>
    <t>Высшее образование (КрГАУ)</t>
  </si>
  <si>
    <t>978-5-16-019520-9</t>
  </si>
  <si>
    <t>Профессиональное образование</t>
  </si>
  <si>
    <t>06.03.02, 35.03.03, 35.03.04, 35.03.05, 35.03.10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</si>
  <si>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</si>
  <si>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</si>
  <si>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Январь, 2024</t>
  </si>
  <si>
    <t>0124</t>
  </si>
  <si>
    <t>288600.05.01</t>
  </si>
  <si>
    <t>Агрохимия: Уч. пос. / В.В. Кидин. - М.: НИЦ ИНФРА-М, 2023 - 351 с. (ВО: Бакалавриат) (п)</t>
  </si>
  <si>
    <t>АГРОХИМИЯ</t>
  </si>
  <si>
    <t>Кидин В.В.</t>
  </si>
  <si>
    <t>978-5-16-010009-8</t>
  </si>
  <si>
    <t>35.03.03, 35.03.04, 35.04.03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</si>
  <si>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35.03.03 «Агрохимия и агропочвоведение"</t>
  </si>
  <si>
    <t>0115</t>
  </si>
  <si>
    <t>682814.06.01</t>
  </si>
  <si>
    <t>Агрохимия: Уч.пос. / В.В.Кидин - М.:НИЦ ИНФРА-М,2024 - 351 с.-(СПО)(П)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</si>
  <si>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</si>
  <si>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</si>
  <si>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</si>
  <si>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672225.03.01</t>
  </si>
  <si>
    <t>Адсорбция бактерий почвой и её эпидемиол. знач.: Моногр. / В.Н.Кисленко-М.:НИЦ ИНФРА-М,2023-156с(П)</t>
  </si>
  <si>
    <t>АДСОРБЦИЯ БАКТЕРИЙ ПОЧВОЙ И ЕЁ ЭПИДЕМИОЛОГИЧЕСКОЕ ЗНАЧЕНИЕ</t>
  </si>
  <si>
    <t>Кисленко В.Н.</t>
  </si>
  <si>
    <t>Научная мысль</t>
  </si>
  <si>
    <t>978-5-16-013499-4</t>
  </si>
  <si>
    <t>Монография</t>
  </si>
  <si>
    <t>Дополнительное образование / Дополнительное профессиональное образование</t>
  </si>
  <si>
    <t>06.03.01, 06.04.01, 19.03.01, 35.03.03, 35.03.04, 36.03.01</t>
  </si>
  <si>
    <t>Новосибирский государственный аграрный университет</t>
  </si>
  <si>
    <t>0118</t>
  </si>
  <si>
    <t>727849.04.01</t>
  </si>
  <si>
    <t>Актуальные паразитарные и инфекционные болезни лошадей: Моногр. / К.П.Юров - М.:НИЦ ИНФРА-М,2024-286 с(О)</t>
  </si>
  <si>
    <t>АКТУАЛЬНЫЕ ПАРАЗИТАРНЫЕ И ИНФЕКЦИОННЫЕ БОЛЕЗНИ ЛОШАДЕЙ</t>
  </si>
  <si>
    <t>Юров К.П., Христиановский П.И., Белименко В.В.</t>
  </si>
  <si>
    <t>Обложка. КБС</t>
  </si>
  <si>
    <t>978-5-16-015991-1</t>
  </si>
  <si>
    <t>36.03.02, 36.04.01, 36.04.02, 36.05.01, 36.06.01</t>
  </si>
  <si>
    <t>Всероссийский научно-исследовательский институт экспериментальной ветеринарии им. К.И. Скрябина</t>
  </si>
  <si>
    <t>0120</t>
  </si>
  <si>
    <t>094020.11.01</t>
  </si>
  <si>
    <t>Акушерство, гинекология и биотехника воспр-ва животных: Уч. пос. / Г.Д. Некрасов -М.:Форум,ИНФРА-М,2024-176 с.(о)</t>
  </si>
  <si>
    <t>АКУШЕРСТВО, ГИНЕКОЛОГИЯ И БИОТЕХНИКА ВОСПРОИЗВОДСТВА ЖИВОТНЫХ</t>
  </si>
  <si>
    <t>Некрасов Г. Д., Суманова И. А.</t>
  </si>
  <si>
    <t>Форум</t>
  </si>
  <si>
    <t>978-5-91134-202-9</t>
  </si>
  <si>
    <t>35.03.07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</si>
  <si>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</si>
  <si>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</si>
  <si>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0108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</si>
  <si>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</si>
  <si>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</si>
  <si>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Некрасов Г.Д., Суманова И.А.</t>
  </si>
  <si>
    <t>978-5-00091-538-7</t>
  </si>
  <si>
    <t>36.01.01, 36.01.02, 36.02.01, 36.02.03</t>
  </si>
  <si>
    <t>0121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</si>
  <si>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</si>
  <si>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</si>
  <si>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</si>
  <si>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</si>
  <si>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</si>
  <si>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</si>
  <si>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</si>
  <si>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ДА</t>
  </si>
  <si>
    <t>Российский биотехнологический университет (РОСБИОТЕХ)</t>
  </si>
  <si>
    <t>0219</t>
  </si>
  <si>
    <t>276800.07.01</t>
  </si>
  <si>
    <t>Анатомия и гистология сельскохоз.животных: Практ: Уч. пос./В.И.Боев-2 изд-НИЦ ИНФРА-М,2024-330с-(ВО:Бак.)(п)</t>
  </si>
  <si>
    <t>В.И.Боев, В.Н.Писменская</t>
  </si>
  <si>
    <t>978-5-16-009779-4</t>
  </si>
  <si>
    <t>36.03.02</t>
  </si>
  <si>
    <t>0215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</si>
  <si>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</si>
  <si>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</si>
  <si>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</si>
  <si>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</si>
  <si>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</si>
  <si>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</si>
  <si>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</si>
  <si>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</si>
  <si>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</si>
  <si>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</si>
  <si>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698209.05.01</t>
  </si>
  <si>
    <t>Антиоксиданты растений и методы их определения: Моногр. / Н.А.Голубкина - М.:НИЦ ИНФРА-М,2023 - 181с(О)</t>
  </si>
  <si>
    <t>АНТИОКСИДАНТЫ РАСТЕНИЙ И МЕТОДЫ ИХ ОПРЕДЕЛЕНИЯ</t>
  </si>
  <si>
    <t>Голубкина Н.А., Кекина Е.Г., Молчанова А.В. и др.</t>
  </si>
  <si>
    <t>978-5-16-015666-8</t>
  </si>
  <si>
    <t>06.04.01, 19.03.01, 19.03.02, 19.04.01, 19.04.02</t>
  </si>
  <si>
    <t>Федеральный научный центр овощеводства</t>
  </si>
  <si>
    <t>331500.05.01</t>
  </si>
  <si>
    <t>Биогеохимия радионуклидов: Уч. / С.П.Торшин - М.:НИЦ ИНФРА-М,2023 - 320 с.-(ВО: Бакалавр.)(П))</t>
  </si>
  <si>
    <t>БИОГЕОХИМИЯ РАДИОНУКЛИДОВ</t>
  </si>
  <si>
    <t>Торшин С.П., Смолина Г.А.</t>
  </si>
  <si>
    <t>978-5-16-010625-0</t>
  </si>
  <si>
    <t>04.03.02, 35.03.03, 35.04.03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</si>
  <si>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«Агрохимия и агропочвоведение»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</si>
  <si>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</si>
  <si>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</si>
  <si>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</si>
  <si>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</si>
  <si>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</si>
  <si>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</si>
  <si>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0123</t>
  </si>
  <si>
    <t>356400.05.01</t>
  </si>
  <si>
    <t>Биоконверсия вторичных продуктов агропромышл. компл.: Уч. / О.Д.Сидоренко-М.:НИЦ ИНФРА-М,2023.-296 с.(П)</t>
  </si>
  <si>
    <t>БИОКОНВЕРСИЯ ВТОРИЧНЫХ ПРОДУКТОВ АГРОПРОМЫШЛЕННОГО КОМПЛЕКСА</t>
  </si>
  <si>
    <t>978-5-16-010917-6</t>
  </si>
  <si>
    <t>06.03.01, 19.03.01, 35.03.04, 44.03.05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</si>
  <si>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06.03.01 «Биология» и специальностям агрономического (35.03.04) и биотехнологического (19.00.00) образования</t>
  </si>
  <si>
    <t>441450.07.01</t>
  </si>
  <si>
    <t>Биоконверсия отходов агропромышл. компл.: Уч.пос. / О.Д.Сидоренко. -М.:НИЦ ИНФРА-М,2022-160с.(ВО) (п)</t>
  </si>
  <si>
    <t>БИОКОНВЕРСИЯ ОТХОДОВ АГРОПРОМЫШЛЕННОГО КОМПЛЕКСА</t>
  </si>
  <si>
    <t>Сидоренко О. Д., Кутровский В. Н.</t>
  </si>
  <si>
    <t>978-5-16-005712-5</t>
  </si>
  <si>
    <t>35.03.03, 35.03.06, 35.03.07</t>
  </si>
  <si>
    <t>Допущено Учебно-методическим объединением вузов Российской Федерации по агрономическому образованию в качестве учебного пособия студентов, обучающихся по направлению 110900 «Технология производства и переработка сельскохозяйственной продукции». (квал</t>
  </si>
  <si>
    <t>0113</t>
  </si>
  <si>
    <t>633924.09.01</t>
  </si>
  <si>
    <t>Биологические методы контроля продукции живот. происх.: Уч. /О.Д.Сидоренко-М.:НИЦ ИНФРА-М,2023-164с.(О)</t>
  </si>
  <si>
    <t>БИОЛОГИЧЕСКИЕ МЕТОДЫ КОНТРОЛЯ ПРОДУКЦИИ ЖИВОТНОГО ПРОИСХОЖДЕНИЯ</t>
  </si>
  <si>
    <t>978-5-16-012085-0</t>
  </si>
  <si>
    <t>19.03.03, 19.03.04, 19.04.03, 19.04.04, 35.03.07, 36.03.01</t>
  </si>
  <si>
    <t>Рекомендовано в качестве учебника для студентов высших учебных заведений, обучающихся по направлениям подготовки 19.03.03 «Продукты питания животного происхождения», 35.03.07 «Технология производства и переработки сельскохозяйственной продукции» (квалификация (степень) «бакалавр»)</t>
  </si>
  <si>
    <t>0117</t>
  </si>
  <si>
    <t>757940.01.01</t>
  </si>
  <si>
    <t>Биологические методы контроля продукции живот. происхож.: Уч. / О.Д.Сидоренко-М.:НИЦ ИНФРА-М,2021.-164 с.(П)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</si>
  <si>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</si>
  <si>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</si>
  <si>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</si>
  <si>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299500.03.01</t>
  </si>
  <si>
    <t>Биологический азот. Проблемы экологии и раст.белка: Моногр./ Г.С.Посыпанов-М.:НИЦ ИНФРА-М,2020-252 с.(Науч.мысль)(О)</t>
  </si>
  <si>
    <t>БИОЛОГИЧЕСКИЙ АЗОТ. ПРОБЛЕМЫ ЭКОЛОГИИ И РАСТИТЕЛЬНОГО БЕЛКА</t>
  </si>
  <si>
    <t>Посыпанов Г.С.</t>
  </si>
  <si>
    <t>978-5-16-010144-6</t>
  </si>
  <si>
    <t>35.03.03, 35.03.04, 35.04.03, 35.04.04</t>
  </si>
  <si>
    <t>299500.02.01</t>
  </si>
  <si>
    <t>Биологический азот. Проблемы экологии и раст.белка:Моногр.-М.:НИЦ ИНФРА-М,2017.-251с-(Науч.мысль)(О)</t>
  </si>
  <si>
    <t>БИОЛОГИЧЕСКИЙ АЗОТ. ПРОБЛЕМЫ ЭКОЛОГИИ И РАСТИТЕЛЬНОГО БЕЛКА, ИЗД.2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</si>
  <si>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</si>
  <si>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</si>
  <si>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</si>
  <si>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</si>
  <si>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</si>
  <si>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</si>
  <si>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</si>
  <si>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</si>
  <si>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318300.06.01</t>
  </si>
  <si>
    <t>Биотехника воспр. с основами акушерства животных: Уч.пос. / В.С.Авдеенко-М.:НИЦ ИНФРА-М,2024-124с.(ВО)(о)</t>
  </si>
  <si>
    <t>БИОТЕХНИКА ВОСПРОИЗВОДСТВА С ОСНОВАМИ АКУШЕРСТВА ЖИВОТНЫХ</t>
  </si>
  <si>
    <t>Авдеенко В.С., Федотов С.В., Кемешов Ж.О.</t>
  </si>
  <si>
    <t>978-5-16-010408-9</t>
  </si>
  <si>
    <t>Профессиональное образование / ВО - Специалитет</t>
  </si>
  <si>
    <t>36.03.02, 36.05.01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</si>
  <si>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(специальности) 36.05.01 —Ветеринария (квалификация (степень) «ветеринарный врач»)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</si>
  <si>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</si>
  <si>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</si>
  <si>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</si>
  <si>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</si>
  <si>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</si>
  <si>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</si>
  <si>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323700.05.01</t>
  </si>
  <si>
    <t>Биотехника воспроизводства с основами акушерства жив.: Практ. / В.С.Авдеенко-М.:НИЦ ИНФРА-М,2024-155 с.(ВО: Бак.)(О)</t>
  </si>
  <si>
    <t>978-5-16-010502-4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</si>
  <si>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36.03.02 «Зоотехния»</t>
  </si>
  <si>
    <t>481400.04.01</t>
  </si>
  <si>
    <t>Биотехника воспроизводства с основами акушерства: Уч./ В.С.Авдеенко-М.:НИЦ ИНФРА-М,2022.-454с(ВО)(П)</t>
  </si>
  <si>
    <t>978-5-16-011705-8</t>
  </si>
  <si>
    <t>36.03.02, 36.04.02, 36.05.01</t>
  </si>
  <si>
    <t>Допущено учебно-методическим объединением высших учебных заведений РФ по образованию в области зоотехнии и ветеринарии в качестве учебника для студентов высших учебных заведений, обучающихся по направлению подготовки (специальности) 36.03.02 «Зоотехния»</t>
  </si>
  <si>
    <t>472400.05.01</t>
  </si>
  <si>
    <t>Верблюдоводство: Уч. пос. / Д.А.Баймуканов и др. -М.:КУРС, НИЦ ИНФРА-М, 2024-184с.(ВО: .)(п)</t>
  </si>
  <si>
    <t>ВЕРБЛЮДОВОДСТВО</t>
  </si>
  <si>
    <t>Баймуканов Д.А., Юлдашбаев Ю.А., Дошанов Д.А.</t>
  </si>
  <si>
    <t>КУРС</t>
  </si>
  <si>
    <t>978-5-906818-14-0</t>
  </si>
  <si>
    <t>Рекомендовано в качестве учебного пособия для студентов высших учебных заведений, обучающихся по направлению 36.03.02 «Зоотехния»</t>
  </si>
  <si>
    <t>Национальная академия наук Республики Казахстан</t>
  </si>
  <si>
    <t>361700.05.01</t>
  </si>
  <si>
    <t>Ветеринарная иммунология (теор.и практ.): Уч. /В.Н.Кисленко - М.:НИЦ ИНФРА-М,2024-214с(ВО:Магистр.)(п)</t>
  </si>
  <si>
    <t>ВЕТЕРИНАРНАЯ ИММУНОЛОГИЯ (ТЕОРИЯ И ПРАКТИКА)</t>
  </si>
  <si>
    <t>Высшее образование: Магистратура</t>
  </si>
  <si>
    <t>978-5-16-010964-0</t>
  </si>
  <si>
    <t>Профессиональное образование / ВО - Магистратура</t>
  </si>
  <si>
    <t>36.04.01</t>
  </si>
  <si>
    <t>Допущено Министерством сельского хозяйства РФ в качестве учебника для студентов высших учебных заведений, обучающихся по направлению подготовки 36.04.01 —«Ветеринарно-санитарная экспертиза» (степень «магистр»)</t>
  </si>
  <si>
    <t>341900.08.01</t>
  </si>
  <si>
    <t>Ветеринарная микробиол.  и иммунол.: Уч..Ч.1. / В.Н.Кисленко-М.:НИЦ ИНФРА-М,2024-183 с.(ВО)(П)</t>
  </si>
  <si>
    <t>ВЕТЕРИНАРНАЯ МИКРОБИОЛОГИЯ И ИММУНОЛОГИЯ, Т.1</t>
  </si>
  <si>
    <t>Кисленко В.Н., Колычев Н.М.</t>
  </si>
  <si>
    <t>Высшее образование (Финансовый университет)</t>
  </si>
  <si>
    <t>978-5-16-010759-2</t>
  </si>
  <si>
    <t>36.03.01, 36.03.02, 36.04.01, 44.03.05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</si>
  <si>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36.05.01 «Ветеринария»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</si>
  <si>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</si>
  <si>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</si>
  <si>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</si>
  <si>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</si>
  <si>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</si>
  <si>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</si>
  <si>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0218</t>
  </si>
  <si>
    <t>637238.04.01</t>
  </si>
  <si>
    <t>Ветеринарная пропедевтика: Уч. / Б.В.Уша - 2 изд., - М.:НИЦ ИНФРА-М,2024 - 451с.(ВО)(п)</t>
  </si>
  <si>
    <t>978-5-16-019208-6</t>
  </si>
  <si>
    <t>36.03.01, 36.05.01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</si>
  <si>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«Ветеринарно-санитарная экспертиза» и направлению подготовки 36.03.01 «Ветеринарно-санитарная экспертиза»</t>
  </si>
  <si>
    <t>0217</t>
  </si>
  <si>
    <t>436350.06.01</t>
  </si>
  <si>
    <t>Ветеринарная санитария на предпр. по переработке ..: Уч.пос. / К.Н.Сон - М.:НИЦ ИНФРА-М,2023-208с(П)</t>
  </si>
  <si>
    <t>ВЕТЕРИНАРНАЯ САНИТАРИЯ НА ПРЕДПРИЯТИЯХ ПО ПЕРЕРАБОТКЕ ПИЩЕВОГО СЫРЬЯ ЖИВОТНОГО ПРОИСХОЖДЕНИЯ</t>
  </si>
  <si>
    <t>Сон К. Н., Родин В. Н.</t>
  </si>
  <si>
    <t>978-5-16-006714-8</t>
  </si>
  <si>
    <t>36.03.01, 36.04.01</t>
  </si>
  <si>
    <t>-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</si>
  <si>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</si>
  <si>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</si>
  <si>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</si>
  <si>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</si>
  <si>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Справочники ИНФРА-М</t>
  </si>
  <si>
    <t>978-5-16-012329-5</t>
  </si>
  <si>
    <t>Справочник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</si>
  <si>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</si>
  <si>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</si>
  <si>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</si>
  <si>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204300.11.01</t>
  </si>
  <si>
    <t>Ветеринарно-санитарная экспертиза: Уч. / Под ред. Кунакова А.А. - М.:НИЦ ИНФРА-М,2020. 2 34 с.(ВО)(П)</t>
  </si>
  <si>
    <t>ВЕТЕРИНАРНО-САНИТАРНАЯ ЭКСПЕРТИЗА</t>
  </si>
  <si>
    <t>Кунаков А.А., Уша Б.В., Кальницкая О.И. и др.</t>
  </si>
  <si>
    <t>978-5-16-005442-1</t>
  </si>
  <si>
    <t>36.03.01, 36.03.02, 36.04.01, 36.04.02</t>
  </si>
  <si>
    <t>Допущено УМО по образованию в области технологии сырья и продуктов животного происхождения в качестве учебного пособия для студентов высших учебных заведений: для бакалавров и магистров по направлениям 36.03.01 и 36.04.01 «Ветеринарно-санитарная экспертиза», для специалистов по направлению 36.05.01 «Ветеринария»</t>
  </si>
  <si>
    <t>682844.05.01</t>
  </si>
  <si>
    <t>Ветеринарно-санитарная экспертиза: Уч. / Под ред. Кунакова А.А. - М.:НИЦ ИНФРА-М,2024-234 с.(СПО) (П)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</si>
  <si>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</si>
  <si>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</si>
  <si>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ПО2</t>
  </si>
  <si>
    <t>204300.17.01</t>
  </si>
  <si>
    <t>Ветеринарно-санитарная экспертиза: Уч. / Под ред. Кунакова А.А.- 2изд. - М.:НИЦ ИНФРА-М,2024- 252с(ВО)(П)</t>
  </si>
  <si>
    <t>ВЕТЕРИНАРНО-САНИТАРНАЯ ЭКСПЕРТИЗА, ИЗД.2</t>
  </si>
  <si>
    <t>Уша Б.В., Авылов Ч.К., Гламаздин И.Г. и др.</t>
  </si>
  <si>
    <t>978-5-16-018561-3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</si>
  <si>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36.03.01 «Ветеринарно-санитарная экспертиза» и 06.03.01 «Биология» (квалификация (степень) «бакалавр») (протокол № 8 от 22.06.2020)</t>
  </si>
  <si>
    <t>0220</t>
  </si>
  <si>
    <t>796035.03.01</t>
  </si>
  <si>
    <t>Видовое и породное биоразнообразие круп. рог. скота / Е.Я.Лебедько-М.:НИЦ ИНФРА-М,2024.-367 с.(п)</t>
  </si>
  <si>
    <t>ВИДОВОЕ И ПОРОДНОЕ БИОРАЗНООБРАЗИЕ КРУПНОГО РОГАТОГО СКОТА</t>
  </si>
  <si>
    <t>Лебедько Е.Я.</t>
  </si>
  <si>
    <t>978-5-16-018238-4</t>
  </si>
  <si>
    <t>35.03.07, 36.02.01, 36.02.03, 36.03.02</t>
  </si>
  <si>
    <t>Брянский государственный аграрный университет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</si>
  <si>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</si>
  <si>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</si>
  <si>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</si>
  <si>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</si>
  <si>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</si>
  <si>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333400.07.01</t>
  </si>
  <si>
    <t>Внутренние болезни животных: Уч. / Под ред. Уша Б.В., - 2 изд.-М.:НИЦ ИНФРА-М,2024.-311 с.(ВО)(п)</t>
  </si>
  <si>
    <t>Уша Б.В.</t>
  </si>
  <si>
    <t>978-5-16-019113-3</t>
  </si>
  <si>
    <t>36.03.01, 36.03.02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</si>
  <si>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направлению подготовки 36.03.01 «Ветеринарно-санитарная экспертиза» и направлению подготовки бакалавров</t>
  </si>
  <si>
    <t>477450.04.01</t>
  </si>
  <si>
    <t>Воспроизводство сельскохоз. птицы:Уч.пос. / Б.Ф.Бессарабов-М.:НИЦ ИНФРА-М,2023.-358 с.(ВО)(п)</t>
  </si>
  <si>
    <t>ВОСПРОИЗВОДСТВО СЕЛЬСКОХОЗЯЙСТВЕННОЙ ПТИЦЫ</t>
  </si>
  <si>
    <t>Бессарабов Б.Ф., Федотов С.В.</t>
  </si>
  <si>
    <t>978-5-16-010265-8</t>
  </si>
  <si>
    <t>19.02.11, 19.02.12, 36.02.03, 36.03.02, 36.04.02</t>
  </si>
  <si>
    <t>Допущено Учебно-методическим объединением высших учебных заведений Российской Федерации |  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</si>
  <si>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</si>
  <si>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</si>
  <si>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</si>
  <si>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</si>
  <si>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</si>
  <si>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</si>
  <si>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</si>
  <si>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Август, 2023</t>
  </si>
  <si>
    <t>322200.07.01</t>
  </si>
  <si>
    <t>Гельминтозы крупного рогатого скота / А.Н.Токарев-М.:ИЦ РИОР, НИЦ ИНФРА-М,2023.-186 с.(О)</t>
  </si>
  <si>
    <t>ГЕЛЬМИНТОЗЫ КРУПНОГО РОГАТОГО СКОТА</t>
  </si>
  <si>
    <t>А.Н.Токарев, С.В.Енгашев</t>
  </si>
  <si>
    <t>ИЦ РИОР</t>
  </si>
  <si>
    <t>978-5-369-01401-1</t>
  </si>
  <si>
    <t>06.03.01, 06.04.01</t>
  </si>
  <si>
    <t>Санкт-Петербургский Государственный Университет Ветеринарной Медицины</t>
  </si>
  <si>
    <t>640666.03.01</t>
  </si>
  <si>
    <t>Геноидентификация вируса бычьего лейкоза: Моногр. / Н.З.Хазипов-М.:НИЦ ИНФРА-М,2020-163 с.-(Науч.мысль)(О)</t>
  </si>
  <si>
    <t>ГЕНОИДЕНТИФИКАЦИЯ ВИРУСА БЫЧЬЕГО ЛЕЙКОЗА</t>
  </si>
  <si>
    <t>Хазипов Н.З., Вафин Р.Р., Шаева А.Ю. и др.</t>
  </si>
  <si>
    <t>978-5-16-012313-4</t>
  </si>
  <si>
    <t>36.03.02, 36.04.01</t>
  </si>
  <si>
    <t>Казанская государственная академия ветеринарной медицины им. Н.Э. Баумана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</si>
  <si>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</si>
  <si>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</si>
  <si>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</si>
  <si>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</si>
  <si>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Библиотека словарей ИНФРА-М</t>
  </si>
  <si>
    <t>978-5-16-009015-3</t>
  </si>
  <si>
    <t>Словарь</t>
  </si>
  <si>
    <t>05.03.02, 05.04.02, 20.02.01, 35.02.01, 35.03.03, 35.03.04, 35.04.03, 35.04.04</t>
  </si>
  <si>
    <t>717646.06.01</t>
  </si>
  <si>
    <t>Гидравлика. Практикум: Уч.пос. / С.Ф.Вольвак - М.:НИЦ ИНФРА-М,2023 - 318 с.-(ВО: Бакалавриат)(П)</t>
  </si>
  <si>
    <t>ГИДРАВЛИКА. ПРАКТИКУМ</t>
  </si>
  <si>
    <t>Вольвак С.Ф.</t>
  </si>
  <si>
    <t>978-5-16-015660-6</t>
  </si>
  <si>
    <t>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</si>
  <si>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26.03.2020)</t>
  </si>
  <si>
    <t>Белгородский государственный аграрный университет им. В.Я. Горина</t>
  </si>
  <si>
    <t>717645.03.01</t>
  </si>
  <si>
    <t>Гидравлика: Уч.пос. / С.Ф.Вольвак - М.:НИЦ ИНФРА-М,2023 - 438 с.-(ВО: Бакалавриат)(П)</t>
  </si>
  <si>
    <t>ГИДРАВЛИКА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</si>
  <si>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</si>
  <si>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</si>
  <si>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</si>
  <si>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269800.06.01</t>
  </si>
  <si>
    <t>Гистология и основы эмбриологии:Уч.пос. / Е.М.Ленченко-М.:НИЦ ИНФРА-М,2024.-202 с.(ВО: Бакалавриат)(о)</t>
  </si>
  <si>
    <t>ГИСТОЛОГИЯ И ОСНОВЫ ЭМБРИОЛОГИИ</t>
  </si>
  <si>
    <t>Ленченко Е.М.</t>
  </si>
  <si>
    <t>978-5-16-009638-4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</si>
  <si>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учебного  пособия для подготовки бакалавров направления 36.03.01 (111900) «Ветеринарно-санитарная эксперти</t>
  </si>
  <si>
    <t>322300.12.01</t>
  </si>
  <si>
    <t>Декоративное садовод. с осн. ландш. проектир.: Уч. /А.В.Исачкин - М.: НИЦ ИНФРА-М, 2024 -522с (ВО)(П)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</si>
  <si>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</si>
  <si>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</si>
  <si>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978-5-16-019176-8</t>
  </si>
  <si>
    <t>35.03.05</t>
  </si>
  <si>
    <t>Допущено Министерством сельского хозяйства Российской Федерации в качестве учебника для бакалавров высших учебных заведений по направлению 35.03.05 «Садоводство»</t>
  </si>
  <si>
    <t>682857.08.01</t>
  </si>
  <si>
    <t>Декоративное садовод. с осн. ландшафт. проект.: Уч. / Под ред. Исачкина А.В.-М.:НИЦ ИНФРА-М,2024.-522 с.(П)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</si>
  <si>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</si>
  <si>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</si>
  <si>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</si>
  <si>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777421.01.01</t>
  </si>
  <si>
    <t>Закономерности роста, метаболизма куриных эмбрионов..: Моногр. / М.И.Челнокова.-М.:НИЦ ИНФРА-М,2022.-184 с.(О)</t>
  </si>
  <si>
    <t>ЗАКОНОМЕРНОСТИ РОСТА, МЕТАБОЛИЗМА КУРИНЫХ ЭМБРИОНОВ ЯИЧНЫХ КРОССОВ И РАЗВИТИЕ ИХ ВИСЦЕРАЛЬНЫХ ОРГАНОВ ПРИ ВОЗДЕЙСТВИИ ПЕРЕМЕННЫХ ТЕМПЕРАТУР ИНКУБАЦИИ</t>
  </si>
  <si>
    <t>Челнокова М.И., Сулейманов Ф.И., Челноков А.А. и др.</t>
  </si>
  <si>
    <t>978-5-16-017732-8</t>
  </si>
  <si>
    <t>06.04.01, 06.06.01</t>
  </si>
  <si>
    <t>Великолукская государственная сельскохозяйственная академия</t>
  </si>
  <si>
    <t>0122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</si>
  <si>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</si>
  <si>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</si>
  <si>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</si>
  <si>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</si>
  <si>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</si>
  <si>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</si>
  <si>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</si>
  <si>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</si>
  <si>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</si>
  <si>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</si>
  <si>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</si>
  <si>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</si>
  <si>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</si>
  <si>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422500.08.01</t>
  </si>
  <si>
    <t>Земледелие: практикум: Уч.пос. / Г.И.Баздырев.-М.:НИЦ ИНФРА-М,2024.-424 с.(ВО: Бакалавр.)(П)</t>
  </si>
  <si>
    <t>ЗЕМЛЕДЕЛИЕ: ПРАКТИКУМ</t>
  </si>
  <si>
    <t>Баздырев Г. И., Васильев И. П., Туликов А. М., Захаренко А. В., Сафонов А. Ф.</t>
  </si>
  <si>
    <t>978-5-16-006299-0</t>
  </si>
  <si>
    <t>06.03.02, 35.03.03, 35.03.04, 35.04.03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</si>
  <si>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</si>
  <si>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422400.12.01</t>
  </si>
  <si>
    <t>Земледелие: Уч. / Под ред. Баздырева Г.И. - М.:НИЦ ИНФРА-М,2022 - 608 с.-(ВО: Бакалавриат)(П)</t>
  </si>
  <si>
    <t>ЗЕМЛЕДЕЛИЕ</t>
  </si>
  <si>
    <t>Баздырев Г.И., Захаренко А.В., Лошаков В.Г. и др.</t>
  </si>
  <si>
    <t>978-5-16-006296-9</t>
  </si>
  <si>
    <t>06.03.02, 35.03.03, 35.03.04, 35.03.05, 35.03.07, 35.04.03</t>
  </si>
  <si>
    <t>Рекомендовано Министерством сельского хозяйства Российской Федерации в качестве учебника для студентов высших учебных заведений, обучающихся по направлениям и специальностям агрономического образования</t>
  </si>
  <si>
    <t>392600.07.01</t>
  </si>
  <si>
    <t>Земледелие: Уч.пос. / А.И.Беленков и др. - М.:НИЦ ИНФРА-М,2024 - 237 с.-(ВО)(П)</t>
  </si>
  <si>
    <t>978-5-16-018773-0</t>
  </si>
  <si>
    <t>35.03.04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</si>
  <si>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35.03.04 «Агрономия»</t>
  </si>
  <si>
    <t>682862.06.01</t>
  </si>
  <si>
    <t>Земледелие: Уч.пос. / А.И.Беленков и др.- М.:НИЦ ИНФРА-М,2024.-237 с..-(СПО)(П)</t>
  </si>
  <si>
    <t>978-5-16-013914-2</t>
  </si>
  <si>
    <t>19.02.11, 19.02.12, 35.02.05</t>
  </si>
  <si>
    <t>319000.07.01</t>
  </si>
  <si>
    <t>Зернобобовые культуры: систем. подход к анализу..: Моногр./Г.Г.Гатаулина-М.:НИЦ ИНФРА-М,2024-242с(П)</t>
  </si>
  <si>
    <t>ЗЕРНОБОБОВЫЕ КУЛЬТУРЫ: СИСТЕМНЫЙ ПОДХОД К АНАЛИЗУ РОСТА, РАЗВИТИЯ И ФОРМИРОВАНИЯ УРОЖАЯ</t>
  </si>
  <si>
    <t>Гатаулина Г.Г., Никитина С.С.</t>
  </si>
  <si>
    <t>978-5-16-014275-3</t>
  </si>
  <si>
    <t>661453.04.01</t>
  </si>
  <si>
    <t>Зоогигиена: Уч. / А.И.Чикалев - 2 изд. - М.:КУРС, НИЦ ИНФРА-М,2024 - 248 с.(П)</t>
  </si>
  <si>
    <t>ЗООГИГИЕНА, ИЗД.2</t>
  </si>
  <si>
    <t>Чикалев А.И., Юлдашбаев Ю.А.</t>
  </si>
  <si>
    <t>978-5-906923-48-6</t>
  </si>
  <si>
    <t>Горно-Алтайский государственный университет</t>
  </si>
  <si>
    <t>413250.08.01</t>
  </si>
  <si>
    <t>Интегрированная защита растений от вредных орг.: Уч.пос. / Г.И.Баздырев - М.:НИЦ ИНФРА-М,2023 - 302 с.(ВО)(П)</t>
  </si>
  <si>
    <t>ИНТЕГРИРОВАННАЯ ЗАЩИТА РАСТЕНИЙ ОТ ВРЕДНЫХ ОРГАНИЗМОВ</t>
  </si>
  <si>
    <t>Баздырев Г.И., Третьяков Н.Н., Белошапкина О.О.</t>
  </si>
  <si>
    <t>978-5-16-006469-7</t>
  </si>
  <si>
    <t>35.03.04, 35.04.03, 35.04.04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</si>
  <si>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магистров, обучающихся по направлению «Агрономия»</t>
  </si>
  <si>
    <t>389700.04.01</t>
  </si>
  <si>
    <t>Интенсификация воспр. овец: Уч.пос. / А.И.Ерохин и др.-М.:КУРС, НИЦ ИНФРА-М,2023.-240 с..-(ВО)(П)</t>
  </si>
  <si>
    <t>ИНТЕНСИФИКАЦИЯ ВОСПРОИЗВОДСТВА ОВЕЦ</t>
  </si>
  <si>
    <t>ЕрохинА.И., КарасевЕ.А., ЕрохинС.А.</t>
  </si>
  <si>
    <t>978-5-905554-82-7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</si>
  <si>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направлению подготовки «Зоотехния»</t>
  </si>
  <si>
    <t>319300.09.01</t>
  </si>
  <si>
    <t>Инфекционные болезни животных: Уч. / Под ред. Сидорчука А.А. - 2 изд.-М.:НИЦ ИНФРА-М,2024.-954с(ВО)(П)</t>
  </si>
  <si>
    <t>ИНФЕКЦИОННЫЕ БОЛЕЗНИ ЖИВОТНЫХ, ИЗД.2</t>
  </si>
  <si>
    <t>Сидорчук А.А., Масимов Н.А., Крупальник В.Л. и др.</t>
  </si>
  <si>
    <t>Высшее образование: Специалитет</t>
  </si>
  <si>
    <t>978-5-16-010419-5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</si>
  <si>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</si>
  <si>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0216</t>
  </si>
  <si>
    <t>640121.04.01</t>
  </si>
  <si>
    <t>История лесного дела: Уч. / А.С.Тихонов - М.:НИЦ ИНФРА-М,2023 - 357 с.(ВО: Магистратура)(П)</t>
  </si>
  <si>
    <t>ИСТОРИЯ ЛЕСНОГО ДЕЛА</t>
  </si>
  <si>
    <t>Тихонов А.С.</t>
  </si>
  <si>
    <t>978-5-16-012280-9</t>
  </si>
  <si>
    <t>35.03.01, 35.04.01</t>
  </si>
  <si>
    <t>Рекомендовано в качестве учебника для студентов высших учебных заведений, обучающихся по направлению подготовки 35.04.01 «Лесное дело» (квалификация (степень) «магистр»)</t>
  </si>
  <si>
    <t>Брянский государственный инженерно-технологический университет</t>
  </si>
  <si>
    <t>477900.05.01</t>
  </si>
  <si>
    <t>Каракулеводство: Уч. пос. / Ш.Р.Херремов - М.:КУРС, НИЦ ИНФРА-М, 2020 - 144 с.(ВО: Бакалавриат)(о)</t>
  </si>
  <si>
    <t>КАРАКУЛЕВОДСТВО</t>
  </si>
  <si>
    <t>Херремов Ш.Р., Юлдашбаев Ю.А.</t>
  </si>
  <si>
    <t>978-5-906818-22-5</t>
  </si>
  <si>
    <t>36.03.02, 36.04.02</t>
  </si>
  <si>
    <t>Союз промышленников и предпринимателей Волгоградской области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</si>
  <si>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</si>
  <si>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</si>
  <si>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</si>
  <si>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</si>
  <si>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</si>
  <si>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299900.08.01</t>
  </si>
  <si>
    <t>Карантинные болезни растений: Уч.пос. / С.И.Чебаненко-М.:НИЦ ИНФРА-М,2024.-113 с.(ВО)(о)</t>
  </si>
  <si>
    <t>Чебаненко С.И., Белошапкина О.О.</t>
  </si>
  <si>
    <t>978-5-16-019024-2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</si>
  <si>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35.03.04 «Агрономия»</t>
  </si>
  <si>
    <t>694357.05.01</t>
  </si>
  <si>
    <t>Картофелеводство: Уч.пос. / А.И.Усков - М.:НИЦ ИНФРА-М,2023.- 173 с.(ВО: Бакалавр.)(П)</t>
  </si>
  <si>
    <t>КАРТОФЕЛЕВОДСТВО</t>
  </si>
  <si>
    <t>Усков А.И., Горяников Ю.В., Можаев Е.Е. и др.</t>
  </si>
  <si>
    <t>978-5-16-015392-6</t>
  </si>
  <si>
    <t>35.03.03, 35.03.04, 35.03.07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</si>
  <si>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</si>
  <si>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Всероссийский научно-исследовательский институт картофельного хозяйства имени А.Г.Лорха</t>
  </si>
  <si>
    <t>230200.06.01</t>
  </si>
  <si>
    <t>Клинико-морфолог. изменения у собак и кошек...: Моногр. / Д.И.Гильдиков - М.:НИЦ ИНФРА-М,2023.-149 с.(О)</t>
  </si>
  <si>
    <t>КЛИНИКО-МОРФОЛОГИЧЕСКИЕ ИЗМЕНЕНИЯ У СОБАК И КОШЕК ПРИ САХАРНОМ ДИАБЕТЕ</t>
  </si>
  <si>
    <t>Гильдиков Д. И., Байматов В. Н.</t>
  </si>
  <si>
    <t>978-5-16-009057-3</t>
  </si>
  <si>
    <t>35.02.15, 36.03.02, 36.04.02, 44.03.05</t>
  </si>
  <si>
    <t>661454.05.01</t>
  </si>
  <si>
    <t>Козоводство: Уч. / А.И.Чикалев - 2 изд. - М.:КУРС, НИЦ ИНФРА-М,2024 - 240 с.(П)</t>
  </si>
  <si>
    <t>КОЗОВОДСТВО, ИЗД.2</t>
  </si>
  <si>
    <t>978-5-906923-49-3</t>
  </si>
  <si>
    <t>391100.08.01</t>
  </si>
  <si>
    <t>Кормление животных с основами..: Уч. пос. / В.С.Токарев -М.:НИЦ ИНФРА-М,2024-592с.(ВО: Бакалавр.)(п)</t>
  </si>
  <si>
    <t>КОРМЛЕНИЕ ЖИВОТНЫХ С ОСНОВАМИ КОРМОПРОИЗВОДСТВА</t>
  </si>
  <si>
    <t>Токарев В.С.</t>
  </si>
  <si>
    <t>978-5-16-011198-8</t>
  </si>
  <si>
    <t>Рекомендовано в качестве учебного пособия для студентов высших учебных заведений, обучающихся по направлениям подготовки 36.03.02 «Зоотехния» (квалификация (степень) «бакалавр») и 36.05.01 «Ветеринария» (квалификация (степень) «ветеринарный врач»)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</si>
  <si>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</si>
  <si>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</si>
  <si>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</si>
  <si>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</si>
  <si>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</si>
  <si>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</si>
  <si>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</si>
  <si>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</si>
  <si>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</si>
  <si>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</si>
  <si>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489350.07.01</t>
  </si>
  <si>
    <t>Кормопроизводство: Уч.пос. / С.С.Михалев - М.:НИЦ ИНФРА-М,2024 - 288 с.-(ВО)(п)</t>
  </si>
  <si>
    <t>КОРМОПРОИЗВОДСТВО</t>
  </si>
  <si>
    <t>Михалев С.С., Лазарев Н.Н.</t>
  </si>
  <si>
    <t>978-5-16-019722-7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</si>
  <si>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бакалавров, обучающихся по направлению 35.03.04 (110400) "Агрономия"</t>
  </si>
  <si>
    <t>809269.01.01</t>
  </si>
  <si>
    <t>Лабораторный прак. по агрономич. химии: Уч.пос. / Е.Н.Белоусова-М.:НИЦ ИНФРА-М,2024.-259 с.(ВО (КрГАУ))(п)</t>
  </si>
  <si>
    <t>ЛАБОРАТОРНЫЙ ПРАКТИКУМ ПО АГРОНОМИЧЕСКОЙ ХИМИИ</t>
  </si>
  <si>
    <t>978-5-16-019397-7</t>
  </si>
  <si>
    <t>35.03.04, 44.03.04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</si>
  <si>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межвузовского использования в качестве учебного пособия для студентов, обучающихся по направлению 44.03.04 «Профессиональное обучение (по отраслям)», направленность «Агрономия»</t>
  </si>
  <si>
    <t>Декабрь, 2023</t>
  </si>
  <si>
    <t>416100.11.01</t>
  </si>
  <si>
    <t>Ландшафтоведение: Уч. / Н.Ф.Ганжара - 2 изд. - М.:НИЦ ИНФРА-М,2024 - 240 с.(ВО:Бакалавр.)(П)</t>
  </si>
  <si>
    <t>ЛАНДШАФТОВЕДЕНИЕ, ИЗД.2</t>
  </si>
  <si>
    <t>Ганжара Н. Ф., Борисов Б. А., Байбеков Р. Ф.</t>
  </si>
  <si>
    <t>978-5-16-006239-6</t>
  </si>
  <si>
    <t>35.03.03, 35.03.05, 35.03.10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</si>
  <si>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направлениям 110100 «Агрохимия и агропочвоведение», 110400 «Агрономия», 110500 «Садоводство»</t>
  </si>
  <si>
    <t>0213</t>
  </si>
  <si>
    <t>360100.11.01</t>
  </si>
  <si>
    <t>Лекарственные и эфирномасличные растения: Уч. / Е.Л.Маланкина-М.:НИЦ ИНФРА-М,2024.-368 с.(ВО)(п)</t>
  </si>
  <si>
    <t>ЛЕКАРСТВЕННЫЕ И ЭФИРНОМАСЛИЧНЫЕ РАСТЕНИЯ</t>
  </si>
  <si>
    <t>МаланкинаЕ.Л., ЦицилинА.Н.</t>
  </si>
  <si>
    <t>978-5-16-018929-1</t>
  </si>
  <si>
    <t>Допущено УМО вузов РФ по агрономическому образованию в качестве учебника для подготовки бакалавров, обучающихся по направлению подготовки 35.03.05 «Садоводство»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</si>
  <si>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</si>
  <si>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</si>
  <si>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</si>
  <si>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</si>
  <si>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</si>
  <si>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</si>
  <si>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</si>
  <si>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482250.08.01</t>
  </si>
  <si>
    <t>Лекарственные растения в декорат.садоводстве: Уч.пос. /Е.Л.Маланкина-М.:НИЦ ИНФРА-М,2023-240с(ВО)(П)</t>
  </si>
  <si>
    <t>978-5-16-010449-2</t>
  </si>
  <si>
    <t>Допущено УМО вузов РФ по  агрономическому образованию в качестве учебного пособия для подготовки бакалавров, обучающихся по направлению 35.03.05 «Садоводство» (квалификация (степень) «бакалавр»)</t>
  </si>
  <si>
    <t>795900.02.01</t>
  </si>
  <si>
    <t>Лекции о почвоведении. Избранные труды: монография / В.В.Докучаев-М.:НИЦ ИНФРА-М,2024.-495 с.(п)</t>
  </si>
  <si>
    <t>ЛЕКЦИИ О ПОЧВОВЕДЕНИИ. ИЗБРАННЫЕ ТРУДЫ</t>
  </si>
  <si>
    <t>Докучаев В.В.</t>
  </si>
  <si>
    <t>978-5-16-018145-5</t>
  </si>
  <si>
    <t>05.03.04, 05.03.06, 06.03.01, 06.03.02, 20.03.02, 21.03.02, 35.03.01, 35.03.05, 35.03.10, 35.06.01</t>
  </si>
  <si>
    <t>Санкт-Петербургский государственный университет</t>
  </si>
  <si>
    <t>797759.01.01</t>
  </si>
  <si>
    <t>Лесные культуры: Уч.пос. / Н.В.Фомина-М.:НИЦ ИНФРА-М,2023.-277 с.(ВО (КрГАУ))(п)</t>
  </si>
  <si>
    <t>ЛЕСНЫЕ КУЛЬТУРЫ</t>
  </si>
  <si>
    <t>Фомина Н.В.</t>
  </si>
  <si>
    <t>978-5-16-018415-9</t>
  </si>
  <si>
    <t>35.03.01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</si>
  <si>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</si>
  <si>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Май, 2023</t>
  </si>
  <si>
    <t>728700.02.01</t>
  </si>
  <si>
    <t>Лесоведение: Уч. / А.С.Тихонов - М.:НИЦ ИНФРА-М,2021 - 348 с.-(СПО)(П)</t>
  </si>
  <si>
    <t>ЛЕСОВЕДЕНИЕ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</si>
  <si>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</si>
  <si>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</si>
  <si>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</si>
  <si>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635706.08.01</t>
  </si>
  <si>
    <t>Лесоведение: Уч. / А.С.Тихонов - М.:НИЦ ИНФРА-М,2024 - 348 с.(ВО)(П)</t>
  </si>
  <si>
    <t>978-5-16-012125-3</t>
  </si>
  <si>
    <t>20.03.02, 20.04.02, 35.03.01, 35.04.01</t>
  </si>
  <si>
    <t>Рекомендовано в качестве учебника для студентов высших учебных заведений, обучающихся по направлениям подготовки 35.03.01 «Лесное дело» (квалификация (степень) «бакалавр»); 35.04.01 «Лесное дело» (квалификация (степень) «магистр»)</t>
  </si>
  <si>
    <t>705307.02.01</t>
  </si>
  <si>
    <t>Лесозаготовительное производство...: Уч.пос. / С.В.Фокин-М.:НИЦ ИНФРА-М,2022.-280 с.(ВО)(П)</t>
  </si>
  <si>
    <t>ЛЕСОЗАГОТОВИТЕЛЬНОЕ ПРОИЗВОДСТВО: ТЕХНОЛОГИИ И ОБОРУДОВАНИЕ</t>
  </si>
  <si>
    <t>Фокин С.В., Шпортько О.Н.</t>
  </si>
  <si>
    <t>978-5-16-015827-3</t>
  </si>
  <si>
    <t>35.02.02, 35.03.01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</si>
  <si>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35.03.01 «Лесное дело» (квалификация (степень) «бакалавр») (протокол № 6 от 16.06.2021)</t>
  </si>
  <si>
    <t>Саратовский государственный технический университет им. Гагарина Ю.А.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</si>
  <si>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</si>
  <si>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</si>
  <si>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</si>
  <si>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</si>
  <si>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</si>
  <si>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655236.05.01</t>
  </si>
  <si>
    <t>Математическое моделиров. и проектир.:Уч.пос./ Под ред.Коломейченко А.С.-М:НИЦ ИНФРА-М,2024-181с(ВО)</t>
  </si>
  <si>
    <t>МАТЕМАТИЧЕСКОЕ МОДЕЛИРОВАНИЕ И ПРОЕКТИРОВАНИЕ</t>
  </si>
  <si>
    <t>Коломейченко А.С., Кравченко И.Н., Ставцев А.Н. и др.</t>
  </si>
  <si>
    <t>978-5-16-012890-0</t>
  </si>
  <si>
    <t>06.04.02, 35.04.03, 35.04.04</t>
  </si>
  <si>
    <t>Рекомендовано Научно-методическим советом по сельскому хозяйству в качестве учебного пособия для подготовки магистров по направлениям 35.04.03 «Агрохимия и агропочвоведение», 35.04.04 «Агрономия»</t>
  </si>
  <si>
    <t>Орловский государственный аграрный университет им. Н.В. Парахина</t>
  </si>
  <si>
    <t>654437.05.01</t>
  </si>
  <si>
    <t>Машины и оборудование в животновод.: Уч.пос. / Под ред. Мирзоянц Ю.А.-М.:НИЦ ИНФРА-М,2023-439с(ВО(П)</t>
  </si>
  <si>
    <t>МАШИНЫ И ОБОРУДОВАНИЕ В ЖИВОТНОВОДСТВЕ</t>
  </si>
  <si>
    <t>Мирзоянц Ю.А., Филонов Р.Ф., Середа Н.А. и др.</t>
  </si>
  <si>
    <t>978-5-16-013120-7</t>
  </si>
  <si>
    <t>35.03.06, 36.03.02</t>
  </si>
  <si>
    <t>Рекомендовано Федеральным учебно-методическим объединением в системе высшего образования по укрупненной группе специальностей  и направлений подготовки 35.00.00 по сельскому, лесному и рыбному хозяйству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</si>
  <si>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</si>
  <si>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</si>
  <si>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</si>
  <si>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</si>
  <si>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</si>
  <si>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</si>
  <si>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</si>
  <si>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Март, 2024</t>
  </si>
  <si>
    <t>345800.07.01</t>
  </si>
  <si>
    <t>Методы и средства научных исследований: Уч. / А.А.Пижурин.-М.:НИЦ ИНФРА-М,2023.-264 с.(ВО)(п)</t>
  </si>
  <si>
    <t>МЕТОДЫ И СРЕДСТВА НАУЧНЫХ ИССЛЕДОВАНИЙ</t>
  </si>
  <si>
    <t>Пижурин А.А., Пижурин А.А., Пятков В.Е.</t>
  </si>
  <si>
    <t>978-5-16-018550-7</t>
  </si>
  <si>
    <t>00.03.16, 00.04.16, 00.05.16, 35.03.02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</si>
  <si>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подготовки бакалавров 35.03.02 «Технология лесозаготовительных и деревоперерабатывающих производств»</t>
  </si>
  <si>
    <t>Национальный исследовательский Московский государственный строительный университет</t>
  </si>
  <si>
    <t>290600.08.01</t>
  </si>
  <si>
    <t>Методы комплексной оценки сельскохоз...: Уч. пос. / Н.И. Римиханов - М.: КУРС: ИНФРА-М, 2022-144с(О)</t>
  </si>
  <si>
    <t>МЕТОДЫ КОМПЛЕКСНОЙ ОЦЕНКИ СЕЛЬСКОХОЗЯЙСТВЕННЫХ И МЕЛКИХ ДОМАШНИХ ЖИВОТНЫХ</t>
  </si>
  <si>
    <t>Римиханов Н.И., Юлдашбаев Ю.А., Сушкова З.Н. и др.</t>
  </si>
  <si>
    <t>978-5-905554-63-6</t>
  </si>
  <si>
    <t>06.03.01, 06.04.01, 36.03.01, 36.04.01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</si>
  <si>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подготовки высшего образования «Зоотехния", "Ветеринария", "Ветеринарно-санитарна</t>
  </si>
  <si>
    <t>444450.08.01</t>
  </si>
  <si>
    <t>Механизация животноводства: дипломное и курсовое проект...: Уч.пос./Р.Ф.Филонов-ИНФРА-М,2019-427с(п)</t>
  </si>
  <si>
    <t>МЕХАНИЗАЦИЯ ЖИВОТНОВОДСТВА: ДИПЛОМНОЕ И КУРСОВОЕ ПРОЕКТИРОВАНИЕ ПО МЕХАНИЗАЦИИ ЖИВОТНОВОДСТВА</t>
  </si>
  <si>
    <t>Филонов Р. Ф., Мурусидзе Д. Н., Кирсанов В. В., Мирзоянц Ю. А.</t>
  </si>
  <si>
    <t>978-5-16-004340-1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</si>
  <si>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(110800) «Агроинженерия»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</si>
  <si>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</si>
  <si>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</si>
  <si>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</si>
  <si>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</si>
  <si>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</si>
  <si>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</si>
  <si>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</si>
  <si>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381600.05.01</t>
  </si>
  <si>
    <t>Механизация и технология животноводства...: Уч.пос. / Ю.Г.Иванов.-М.:НИЦ ИНФРА-М,2023.-208 с.(ВО)(П)</t>
  </si>
  <si>
    <t>ИвановЮ.Г., ФилоновР.Ф., МурусидзеД.Н.</t>
  </si>
  <si>
    <t>978-5-16-011150-6</t>
  </si>
  <si>
    <t>35.03.06, 35.04.06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</si>
  <si>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35.03.06 - Агроинженерия</t>
  </si>
  <si>
    <t>097268.17.01</t>
  </si>
  <si>
    <t>Механизация и технология животноводства: Уч. / В.В.Кирсанов и др.-М.:НИЦ ИНФРА-М,2024.-585 с.(ВО)(П)</t>
  </si>
  <si>
    <t>МЕХАНИЗАЦИЯ И ТЕХНОЛОГИЯ ЖИВОТНОВОДСТВА</t>
  </si>
  <si>
    <t>Кирсанов В.В., Мурусидзе Д.Н., Некрашевич В.Ф. и др.</t>
  </si>
  <si>
    <t>978-5-16-005704-0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</si>
  <si>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«Механизация сельского хозяйства» (направление 35.03.06 «Агроинженерия»)</t>
  </si>
  <si>
    <t>Федеральный научный агроинженерный центр ВИМ</t>
  </si>
  <si>
    <t>388600.10.01</t>
  </si>
  <si>
    <t>Механизация растениеводства: Уч. / Под ред. Солнцева В.Н. - М.:НИЦ ИНФРА-М,2023 - 383 с.(ВО: Бак.)(П)</t>
  </si>
  <si>
    <t>МЕХАНИЗАЦИЯ РАСТЕНИЕВОДСТВА</t>
  </si>
  <si>
    <t>Солнцев В.Н., Тарасенко А.П., Оробинский В.И. и др.</t>
  </si>
  <si>
    <t>978-5-16-011186-5</t>
  </si>
  <si>
    <t>Рекомендовано учебно-методическим объединением вузов Российской Федерации в качестве учебника для студентов высших учебных заведений, обучающихся по направлению 35.03.04 «Агрономия»</t>
  </si>
  <si>
    <t>Воронежский государственный аграрный университет им. императора Петра I</t>
  </si>
  <si>
    <t>682983.06.01</t>
  </si>
  <si>
    <t>Механизация растениеводства: Уч. / Под ред. Солнцева В.Н. - М.:НИЦ ИНФРА-М,2023 - 383 с.-(СПО)(П)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</si>
  <si>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</si>
  <si>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</si>
  <si>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650909.03.01</t>
  </si>
  <si>
    <t>Микробиологические основы природной закваски молока: Уч.мет.пос. / О.Д.Сидоренко, - 2изд, -М.:НИЦ ИНФРА-М,2022-230 с.(П)</t>
  </si>
  <si>
    <t>МИКРОБИОЛОГИЧЕСКИЕ ОСНОВЫ ПРИРОДНОЙ ЗАКВАСКИ МОЛОКА, ИЗД.2</t>
  </si>
  <si>
    <t>978-5-16-016451-9</t>
  </si>
  <si>
    <t>Учебно-методическое пособие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</si>
  <si>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35.03.07 «Технология производства и переработки сельскохозяйственной продукции», 19.03.03 и 19.04.03 «Продукты питания животного происхождения» (протокол № 12 от 24.06.2019)</t>
  </si>
  <si>
    <t>0222</t>
  </si>
  <si>
    <t>650909.02.01</t>
  </si>
  <si>
    <t>Микробиологические основы природной закваски молока: Уч.мет.пос. / О.Д.Сидоренко-М.:НИЦ ИНФРА-М,2020-190с</t>
  </si>
  <si>
    <t>МИКРОБИОЛОГИЧЕСКИЕ ОСНОВЫ ПРИРОДНОЙ ЗАКВАСКИ МОЛОКА</t>
  </si>
  <si>
    <t>978-5-16-012751-4</t>
  </si>
  <si>
    <t>470950.06.01</t>
  </si>
  <si>
    <t>Микробиология продуктов животноводства (практ.рук.): Уч.пос./О.Д.Сидоренко-НИЦ ИНФРА-М,2024-172с(ВО)(о)</t>
  </si>
  <si>
    <t>МИКРОБИОЛОГИЯ ПРОДУКТОВ ЖИВОТНОВОДСТВА (ПРАКТИЧЕСКОЕ РУКОВОДСТВО)</t>
  </si>
  <si>
    <t>978-5-16-019239-0</t>
  </si>
  <si>
    <t>35.03.07, 36.03.01</t>
  </si>
  <si>
    <t>Рекомендовано в качестве учебного пособия для студентов высших учебных заведений,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</si>
  <si>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</si>
  <si>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</si>
  <si>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</si>
  <si>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</si>
  <si>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</si>
  <si>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</si>
  <si>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Апрель, 2024</t>
  </si>
  <si>
    <t>0224</t>
  </si>
  <si>
    <t>305500.07.01</t>
  </si>
  <si>
    <t>Микробиология: Уч. /В.Н.Кисленко-М.:НИЦ ИНФРА-М,2024.-272 с.(ВО: Бакалавриат)(П)</t>
  </si>
  <si>
    <t>МИКРОБИОЛОГИЯ</t>
  </si>
  <si>
    <t>В.Н.Кисленко, М.Ш.Азаев</t>
  </si>
  <si>
    <t>978-5-16-010250-4</t>
  </si>
  <si>
    <t>36.03.01, 44.03.05</t>
  </si>
  <si>
    <t>678054.04.01</t>
  </si>
  <si>
    <t>Микроорганизмы рода Nocardia и разлож.гумуса: Моногр./Е.З.Теппер-М.:НИЦ ИНФРА-М,2024-224с(П)</t>
  </si>
  <si>
    <t>МИКРООРГАНИЗМЫ РОДА NOCARDIA И РАЗЛОЖЕНИЕ ГУМУСА</t>
  </si>
  <si>
    <t>Теппер Е.З.</t>
  </si>
  <si>
    <t>978-5-16-013645-5</t>
  </si>
  <si>
    <t>06.03.01, 06.04.01, 35.03.03</t>
  </si>
  <si>
    <t>640955.05.01</t>
  </si>
  <si>
    <t>Морфология мясопромыш. животных (анатомия и гистол.): Уч. / М.В.Сидорова - М.:НИЦ ИНФРА-М,2022-307с(ВО)</t>
  </si>
  <si>
    <t>МОРФОЛОГИЯ МЯСОПРОМЫШЛЕННЫХ ЖИВОТНЫХ (АНАТОМИЯ И ГИСТОЛОГИЯ)</t>
  </si>
  <si>
    <t>Сидорова М.В., Панов В.П., Семак А.Э. и др.</t>
  </si>
  <si>
    <t>978-5-16-012309-7</t>
  </si>
  <si>
    <t>19.03.03, 19.04.03, 36.03.01, 36.04.01, 36.05.01</t>
  </si>
  <si>
    <t>Рекомендовано в качестве учебника для студентов высших учебных заведений, обучающихся по направлению подготовки 19.03.03 «Процедуры питания животного происхождения» (квалификация (степень) «бакалавр»)</t>
  </si>
  <si>
    <t>766461.01.01</t>
  </si>
  <si>
    <t>Морфология мясопромышленных животных: Уч. / М.В.Сидорова - М.:НИЦ ИНФРА-М,2022 - 307 с.(П)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</si>
  <si>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</si>
  <si>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</si>
  <si>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</si>
  <si>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660106.02.01</t>
  </si>
  <si>
    <t>Научно-практические приемы соверш. обработки...: Моногр. / А.И.Беленков-М.:НИЦ ИНФРА-М,2023.-279с(О)</t>
  </si>
  <si>
    <t>НАУЧНО-ПРАКТИЧЕСКИЕ ПРИЕМЫ СОВЕРШЕНСТВОВАНИЯ ОБРАБОТКИ ПОЧВЫ В СОВРЕМЕННЫХ АДАПТИВНО-ЛАНДШАФТНЫХ СИСТЕМАХ ЗЕМЛЕДЕЛИЯ</t>
  </si>
  <si>
    <t>Беленков А.И., Шевченко В.А., Трофимова Т.А. и др.</t>
  </si>
  <si>
    <t>978-5-16-014805-2</t>
  </si>
  <si>
    <t>35.04.04</t>
  </si>
  <si>
    <t>318600.07.01</t>
  </si>
  <si>
    <t>Недревесная продукция леса:Уч. / Н.А.Харченко, - 2 изд.-М.:НИЦ ИНФРА-М,2024.-383 с.(ВО: Бакалавриат)(П)</t>
  </si>
  <si>
    <t>НЕДРЕВЕСНАЯ ПРОДУКЦИЯ ЛЕСА, ИЗД.2</t>
  </si>
  <si>
    <t>Харченко Н.А., Харченко Н.Н.</t>
  </si>
  <si>
    <t>978-5-16-010413-3</t>
  </si>
  <si>
    <t>Воронежский государственный лесотехнический университет имени Г.Ф. Морозова</t>
  </si>
  <si>
    <t>308000.07.01</t>
  </si>
  <si>
    <t>Неонатология и болезни новорожд. телят: Моногр. / В.П.Дегтярев - М.:НИЦ ИНФРА-М,2024-158с(Науч.мысль)(П)</t>
  </si>
  <si>
    <t>НЕОНАТОЛОГИЯ И БОЛЕЗНИ НОВОРОЖДЕННЫХ ТЕЛЯТ</t>
  </si>
  <si>
    <t>Дегтярев В.П., Федотов С.В., Удалов Г.М.</t>
  </si>
  <si>
    <t>978-5-16-012208-3</t>
  </si>
  <si>
    <t>689438.02.01</t>
  </si>
  <si>
    <t>Обеспечение долгов.рабочих органов почвообр.машин: Моногр./ В.С.Новиков-М:НИЦ ИНФРА-М,2018-155с(О)</t>
  </si>
  <si>
    <t>ОБЕСПЕЧЕНИЕ ДОЛГОВЕЧНОСТИ  РАБОЧИХ ОРГАНОВ ПОЧВООБРАБАТЫВАЮЩИХ МАШИН</t>
  </si>
  <si>
    <t>Новиков В.С.</t>
  </si>
  <si>
    <t>978-5-16-014351-4</t>
  </si>
  <si>
    <t>343600.08.01</t>
  </si>
  <si>
    <t>Оборудование перерабатывающих производств:Уч. / А.А.Курочкин и др.-М.:НИЦ ИНФРА-М,2024.-363 с.(ВО: Бак.)(п)</t>
  </si>
  <si>
    <t>ОБОРУДОВАНИЕ ПЕРЕРАБАТЫВАЮЩИХ ПРОИЗВОДСТВ</t>
  </si>
  <si>
    <t>Курочкин А.А., Шабурова Г.В., Зимняков В.М. и др.</t>
  </si>
  <si>
    <t>978-5-16-010779-0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</si>
  <si>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</si>
  <si>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технологический университет</t>
  </si>
  <si>
    <t>222400.07.01</t>
  </si>
  <si>
    <t>Обработка почвы как фактор регулир. почвен..: Моногр. / А.Ф.Витер - ИНФРА-М, 2023 - 173 с.(Науч.мысль)(о)</t>
  </si>
  <si>
    <t>ОБРАБОТКА ПОЧВЫ КАК ФАКТОР РЕГУЛИРОВАНИЯ ПОЧВЕННОГО ПЛОДОРОДИЯ</t>
  </si>
  <si>
    <t>Витер А. Ф., Турусов В. И., Гармашов В. М., Гаврилова С. А.</t>
  </si>
  <si>
    <t>978-5-16-008982-9</t>
  </si>
  <si>
    <t>05.03.06, 06.03.01, 06.03.02, 20.03.02, 35.03.01, 35.03.03, 35.03.05, 35.03.10, 35.04.03</t>
  </si>
  <si>
    <t>Научно-Исследовательский Институт сельского хозяйства центрально-черноземной полосы имени В.В.Докуча</t>
  </si>
  <si>
    <t>350800.08.01</t>
  </si>
  <si>
    <t>Общая и ветеринарная экология: Уч. / В.Н.Кисленко - М.:НИЦ ИНФРА-М,2023 - 344 с.-(ВО: Бакалавриат)(П)</t>
  </si>
  <si>
    <t>ОБЩАЯ И ВЕТЕРИНАРНАЯ ЭКОЛОГИЯ</t>
  </si>
  <si>
    <t>Кисленко В.Н., Калиненко Н.А.</t>
  </si>
  <si>
    <t>978-5-16-010860-5</t>
  </si>
  <si>
    <t>Допущен Министерством сельского хозяйства Российской Федерации в качестве учебника для студентов высших учебных заведений, обучающихся по направлениям подготовки 36.00.00 «Ветеринария и зоотехния»</t>
  </si>
  <si>
    <t>189050.10.01</t>
  </si>
  <si>
    <t>Овощеводство. Агротехника капусты: Уч. / В.И.Старцев - М.:НИЦ ИНФРА-М,2024-138с.(ВО: Бакалавриат)(п)</t>
  </si>
  <si>
    <t>ОВОЩЕВОДСТВО. АГРОТЕХНИКА КАПУСТЫ</t>
  </si>
  <si>
    <t>Старцев В. И.</t>
  </si>
  <si>
    <t>978-5-16-005495-7</t>
  </si>
  <si>
    <t>35.03.04, 35.04.04</t>
  </si>
  <si>
    <t>Допущено Учебно-методическим объединением вузов РФ по агрономическому образованию в качестве учебника для студентов, обучающихся по напровлению 110400 "Агрономия"</t>
  </si>
  <si>
    <t>Всероссийский научно-исследовательский институт фитопатологии</t>
  </si>
  <si>
    <t>633339.06.01</t>
  </si>
  <si>
    <t>Овцеводство и козоводство: Уч. / А.И.Чикалев - М.:КУРС, НИЦ ИНФРА-М,2022 - 228 с.-(ВО: Бакалавриат)(П)</t>
  </si>
  <si>
    <t>ОВЦЕВОДСТВО И КОЗОВОДСТВО</t>
  </si>
  <si>
    <t>978-5-906818-67-6</t>
  </si>
  <si>
    <t>35.03.07, 36.03.02, 44.03.05</t>
  </si>
  <si>
    <t>Рекомендовано в качестве учебника для студентов высших учебных заведений, обучающихся по направлению 36.03.02 «Зоотехния» и 35.03.07 «Технология производства и переработки сельскохозяйственной продукции»</t>
  </si>
  <si>
    <t>302100.07.01</t>
  </si>
  <si>
    <t>Овцеводство: Уч. / А.И.Чикалев - М.:КУРС, НИЦ ИНФРА-М,2024. - 200 с.(О)</t>
  </si>
  <si>
    <t>ОВЦЕВОДСТВО</t>
  </si>
  <si>
    <t>978-5-905554-72-8</t>
  </si>
  <si>
    <t>359500.09.01</t>
  </si>
  <si>
    <t>Оленеводство: Уч./ А.И.Чикалев и др. - М.:КУРС, НИЦ ИНФРА-М,2024 - 110с.(ВО)(о)</t>
  </si>
  <si>
    <t>ОЛЕНЕВОДСТВО</t>
  </si>
  <si>
    <t>А.И.Чикалев, Ю.А.Юлдашбаев, Г.В.Родионов</t>
  </si>
  <si>
    <t>978-5-905554-93-3</t>
  </si>
  <si>
    <t>35.01.21, 36.03.02, 36.04.02, 36.05.01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</si>
  <si>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36.03.02 «Зоотехния» (квалификация (степень) «бакалавр»)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</si>
  <si>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</si>
  <si>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</si>
  <si>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</si>
  <si>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</si>
  <si>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</si>
  <si>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</si>
  <si>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</si>
  <si>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</si>
  <si>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699546.04.01</t>
  </si>
  <si>
    <t>Орошаемое земледелие: Уч.пос. / Е.И.Кузнецова - М.:НИЦ ИНФРА-М,2024 - 166 с.-(ВО: Магистратура)(П)</t>
  </si>
  <si>
    <t>ОРОШАЕМОЕ ЗЕМЛЕДЕЛИЕ</t>
  </si>
  <si>
    <t>Кузнецова Е.И., Закабунина Е.Н., Снипич Ю.Ф. и др.</t>
  </si>
  <si>
    <t>978-5-16-014819-9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</si>
  <si>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35.04.04 «Агрономия», 35.04.03 «Агрохимия и агропочвоведение» (квалификация (степень) «магистр»)</t>
  </si>
  <si>
    <t>Московский физико-технический институт (национальный исследовательский университет)</t>
  </si>
  <si>
    <t>093350.16.01</t>
  </si>
  <si>
    <t>Основы агрономии: Уч.пос. / Ю.В.Евтефеев - М.:Форум, НИЦ ИНФРА-М,2023 - 367 с.-(ВО)(п)</t>
  </si>
  <si>
    <t>ОСНОВЫ АГРОНОМИИ</t>
  </si>
  <si>
    <t>Евтефеев Ю.В., Казанцев Г.М.</t>
  </si>
  <si>
    <t>978-5-00091-800-5</t>
  </si>
  <si>
    <t>35.03.04, 36.03.02</t>
  </si>
  <si>
    <t>Допущено Министерством сельского хозяйства РФ в качестве учебного пособия для студентов высших учебных заведений, обучающихся по специальности 36.03.02 «Зоотехния»</t>
  </si>
  <si>
    <t>684806.06.01</t>
  </si>
  <si>
    <t>Основы агрономии: Уч.пос. / Ю.В.Евтефеев - М.:Форум, НИЦ ИНФРА-М,2024 - 367 с.-(СПО)(П)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</si>
  <si>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</si>
  <si>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</si>
  <si>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798134.01.01</t>
  </si>
  <si>
    <t>Основы ветеринарии: Уч.пос.: В 2 ч. Ч. 2 / О.П.Данилкина-М.:НИЦ ИНФРА-М,2024.-303 с.(ВО (КрГАУ))(п)</t>
  </si>
  <si>
    <t>ОСНОВЫ ВЕТЕРИНАРИИ. В 2-Х Ч., Т.2</t>
  </si>
  <si>
    <t>Данилкина О.П.</t>
  </si>
  <si>
    <t>978-5-16-019297-0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</si>
  <si>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36.03.02 «Зоотехния»</t>
  </si>
  <si>
    <t>Ноябрь, 2023</t>
  </si>
  <si>
    <t>806732.01.01</t>
  </si>
  <si>
    <t>Основы ветеринарии: Ч. 1: Уч.пос. / О.П.Данилкина-М.:НИЦ ИНФРА-М,2024.-335 с.(ВО (КрГАУ))(п)</t>
  </si>
  <si>
    <t>ОСНОВЫ ВЕТЕРИНАРИИ ЧАСТЬ 1, Т.1</t>
  </si>
  <si>
    <t>978-5-16-019296-3</t>
  </si>
  <si>
    <t>331400.07.01</t>
  </si>
  <si>
    <t>Основы ветеринарной географии: Уч. / Н.М.Колычев - М.:НИЦ ИНФРА-М,2023 - 378 с.(ВО:Специалитет)(п)</t>
  </si>
  <si>
    <t>ОСНОВЫ ВЕТЕРИНАРНОЙ ГЕОГРАФИИ</t>
  </si>
  <si>
    <t>Колычев Н.М., Кисленко В.Н.</t>
  </si>
  <si>
    <t>978-5-16-010623-6</t>
  </si>
  <si>
    <t>19.02.11, 19.02.12, 36.02.03, 36.03.02</t>
  </si>
  <si>
    <t>Допущено Министерством сельского хозяйства Российской Федерации в качестве учебника для студентов высших учебных заведений по специальности 36.05.01 «Ветеринария»</t>
  </si>
  <si>
    <t>Омский государственный аграрный университет им. П.А. Столыпина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</si>
  <si>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</si>
  <si>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</si>
  <si>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</si>
  <si>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</si>
  <si>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</si>
  <si>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</si>
  <si>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</si>
  <si>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</si>
  <si>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</si>
  <si>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</si>
  <si>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</si>
  <si>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</si>
  <si>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</si>
  <si>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</si>
  <si>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813206.01.01</t>
  </si>
  <si>
    <t>Основы научных исслед. в агрономии: Прак.: Уч.пос. / А.А.Белоусов-М.:НИЦ ИНФРА-М,2024.-180 с.(ВО)(п)</t>
  </si>
  <si>
    <t>ОСНОВЫ НАУЧНЫХ ИССЛЕДОВАНИЙ В АГРОНОМИИ: ПРАКТИКУМ</t>
  </si>
  <si>
    <t>Белоусов А.А., Белоусова Е.Н.</t>
  </si>
  <si>
    <t>978-5-16-019483-7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</si>
  <si>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35.03.04 «Агрономия»</t>
  </si>
  <si>
    <t>240700.06.01</t>
  </si>
  <si>
    <t>Основы технич. эксплуатации электрич. и электромех..: Уч. /Г.П.Ерошенко-2 изд-М.:НИЦ ИНФРА-М,2022-295с.(п)</t>
  </si>
  <si>
    <t>ОСНОВЫ ТЕХНИЧЕСКОЙ ЭКСПЛУАТАЦИИ ЭЛЕКТРИЧЕСКОГО И ЭЛЕКТРОМЕХАНИЧЕСКОГО ОБОРУДОВАНИЯ, ИЗД.2</t>
  </si>
  <si>
    <t>Ерошенко Г.П., Кондратьева Н.П., Бакиров С.М.</t>
  </si>
  <si>
    <t>978-5-16-015803-7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</si>
  <si>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«Агроинженерия»</t>
  </si>
  <si>
    <t>Самарский национальный исследовательский университет им. академика С.П. Королева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</si>
  <si>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</si>
  <si>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</si>
  <si>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Ерошенко Д.В., Кондратьева Н.П., Бакиров С.М.</t>
  </si>
  <si>
    <t>978-5-16-015624-8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</si>
  <si>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</si>
  <si>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</si>
  <si>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208500.08.01</t>
  </si>
  <si>
    <t>Основы физиологии: Уч. / А.С.Ерохин и др. - М.:НИЦ ИНФРА-М,2024 - 320 с.-(ВО: Бакалавриат)(П)</t>
  </si>
  <si>
    <t>ОСНОВЫ ФИЗИОЛОГИИ</t>
  </si>
  <si>
    <t>Ерохин А. С., Боев В. И., Киселева М. Г.</t>
  </si>
  <si>
    <t>978-5-16-006812-1</t>
  </si>
  <si>
    <t>Московский государственный университет им. М.В. Ломоносова, факультет государственного управления</t>
  </si>
  <si>
    <t>655211.03.01</t>
  </si>
  <si>
    <t>Основы хирургической патологии: Уч. / Б.В.Уша-М.:НИЦ ИНФРА-М,2023.-449 с..-(ВО: Специалитет)(П)</t>
  </si>
  <si>
    <t>ОСНОВЫ ХИРУРГИЧЕСКОЙ ПАТОЛОГИИ</t>
  </si>
  <si>
    <t>Уша Б.В., Концевая С.Ю., Луцай В.И.</t>
  </si>
  <si>
    <t>978-5-16-013804-6</t>
  </si>
  <si>
    <t>31.02.01, 36.03.01, 36.04.01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</si>
  <si>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36.05.01 «Ветеринария» и направлению подготовки бакалавров 36.03.01 «Ветеринарно-санитарная экспертиза»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</si>
  <si>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</si>
  <si>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</si>
  <si>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</si>
  <si>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</si>
  <si>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631795.07.01</t>
  </si>
  <si>
    <t>Особенности питания и удобрения овощных культур и..:Уч.пос. / В.В.Кидин-М.:НИЦ ИНФРА-М,2024-202с(ВО)(п)</t>
  </si>
  <si>
    <t>978-5-16-019052-5</t>
  </si>
  <si>
    <t>35.03.03, 35.03.04, 35.03.05, 35.03.06</t>
  </si>
  <si>
    <t>Рекомендовано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</t>
  </si>
  <si>
    <t>782573.01.01</t>
  </si>
  <si>
    <t>Охрана труда в АПК: Уч.пос. / Н.И.Чепелев-М.:НИЦ ИНФРА-М,2023.-232 с.(ВО (КрГАУ))(п)</t>
  </si>
  <si>
    <t>ОХРАНА ТРУДА В АПК</t>
  </si>
  <si>
    <t>Чепелев Н.И., Маслова Т.В.</t>
  </si>
  <si>
    <t>978-5-16-018285-8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</si>
  <si>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</si>
  <si>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безопасность», профиль «Безопасность технологических процессов и производств в АПК»</t>
  </si>
  <si>
    <t>480450.05.01</t>
  </si>
  <si>
    <t>Оценка качества молока и молочных продуктов: Уч.мет.пос. / Г.В.Чебакова-М.:НИЦ ИНФРА-М,2024-182с(ВО)(о)</t>
  </si>
  <si>
    <t>ОЦЕНКА КАЧЕСТВА МОЛОКА И МОЛОЧНЫХ ПРОДУКТОВ</t>
  </si>
  <si>
    <t>Чебакова Г.В., Зачесова И.А.</t>
  </si>
  <si>
    <t>978-5-16-010352-5</t>
  </si>
  <si>
    <t>Допущено Учебно-методическим объединением высших учебных заведений Российской Федерации по образованию в области зоотехники и ветеринарии в качестве учебно-методического пособия для студентов высших учебных заведений, обучающихся по направлению подготовки (специальности) 36.03.02 Зоотехния (квалификация (степень) «бакалавр»)</t>
  </si>
  <si>
    <t>290500.08.01</t>
  </si>
  <si>
    <t>Пантовое оленеводство: Уч. / А.И.Чикалев.-М.:КУРС, НИЦ ИНФРА-М,2024.-96 с..-(ВО: Бакалавриат)(о)</t>
  </si>
  <si>
    <t>ПАНТОВОЕ ОЛЕНЕВОДСТВО</t>
  </si>
  <si>
    <t>Чикалев А. И., Петрусева Н. С., Бессонова Н. М., Юлдашбаев Ю. А.</t>
  </si>
  <si>
    <t>978-5-905554-64-3</t>
  </si>
  <si>
    <t>35.01.21, 36.01.02, 36.03.02, 36.04.02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</si>
  <si>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высшего образования «Зоотехния»</t>
  </si>
  <si>
    <t>434850.08.01</t>
  </si>
  <si>
    <t>Паразитарные болезни животных: Уч.пос. / М.Д.Новак - М.:ИЦ РИОР,НИЦ ИНФРА-М,2023 - 192 с.(ВО)(П)</t>
  </si>
  <si>
    <t>ПАРАЗИТАРНЫЕ БОЛЕЗНИ ЖИВОТНЫХ</t>
  </si>
  <si>
    <t>Новак М. Д., Енгашев С. В.</t>
  </si>
  <si>
    <t>978-5-369-01203-1</t>
  </si>
  <si>
    <t>36.03.01, 36.04.01, 36.05.01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</si>
  <si>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</t>
  </si>
  <si>
    <t>Рязанский государственный медицинский университет им. академика И.П. Павлова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</si>
  <si>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</si>
  <si>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</si>
  <si>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</si>
  <si>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</si>
  <si>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</si>
  <si>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310400.09.01</t>
  </si>
  <si>
    <t>Паразитология и паразит.бол.и сельск..: Уч./Н.Е.Косминков-М.:НИЦ ИНФРА-М,2023-467с.(ВО:Бакалавр.)(п)</t>
  </si>
  <si>
    <t>978-5-16-010317-4</t>
  </si>
  <si>
    <t>Рекомендовано в качестве учебника для студентов высших учебных заведений, обучающихся по направлениям подготовки 36.03.01 «Ветеринарно-санитарная экспертиза», 36.03.02 «Зоотехния» (квалификация (степень) «бакалавр»)</t>
  </si>
  <si>
    <t>147900.10.01</t>
  </si>
  <si>
    <t>Пастбищное хозяйство: Уч.пос. / Б.В.Шелюто-М.:НИЦ ИНФРА-М, Новое знание,2022.-184 с.(ВО: Бакалавр.)(О)</t>
  </si>
  <si>
    <t>ПАСТБИЩНОЕ ХОЗЯЙСТВО</t>
  </si>
  <si>
    <t>Шелюто Б.В., Шелюто А.А.</t>
  </si>
  <si>
    <t>978-5-16-012091-1</t>
  </si>
  <si>
    <t>Допущено Министерством образования Республики Беларусь в качестве учебного пособия для студентов высших учебных заведений по агрономическим специальностям</t>
  </si>
  <si>
    <t>Белорусская государственная сельскохозяйственная академия</t>
  </si>
  <si>
    <t>0111</t>
  </si>
  <si>
    <t>315100.08.01</t>
  </si>
  <si>
    <t>Патологическая физиология: Уч. / В.Н.Байматов - М.:НИЦ ИНФРА-М,2023 - 411с.(ВО:Специалитет)(п)</t>
  </si>
  <si>
    <t>ПАТОЛОГИЧЕСКАЯ ФИЗИОЛОГИЯ</t>
  </si>
  <si>
    <t>Байматов В.Н., Мешков В.М., Байматов В.Н.</t>
  </si>
  <si>
    <t>978-5-16-009117-4</t>
  </si>
  <si>
    <t>Допущен Главным управлением высшего и среднего сельскохозяйственного образования Министерства сельского хозяйства Российской Федерации в качестве учебника для студентов высших сельскохозяйственных учебных заведений по специальности 36.05.01 «Ветеринария»</t>
  </si>
  <si>
    <t>796828.01.01</t>
  </si>
  <si>
    <t>Патоморфологические методы исследования: Уч.пос. / Т.И.Вахрушева-М.:НИЦ ИНФРА-М,2024.-267 с.(ВО)(п)</t>
  </si>
  <si>
    <t>ПАТОМОРФОЛОГИЧЕСКИЕ МЕТОДЫ ИССЛЕДОВАНИЯ</t>
  </si>
  <si>
    <t>Вахрушева Т.И.</t>
  </si>
  <si>
    <t>Высшее образование: Специалитет (КрГАУ)</t>
  </si>
  <si>
    <t>978-5-16-018998-7</t>
  </si>
  <si>
    <t>36.05.01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</si>
  <si>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36.05.01 «Ветеринария»</t>
  </si>
  <si>
    <t>Октябрь, 2023</t>
  </si>
  <si>
    <t>794862.01.01</t>
  </si>
  <si>
    <t>Переработка зерна: Уч.пос. / Г.Г.Юсупова-М.:НИЦ ИНФРА-М,2024.-404 с..-(ВО)(п)</t>
  </si>
  <si>
    <t>ПЕРЕРАБОТКА ЗЕРНА</t>
  </si>
  <si>
    <t>Юсупова Г.Г.</t>
  </si>
  <si>
    <t>978-5-16-018293-3</t>
  </si>
  <si>
    <t>19.02.11, 19.03.02, 35.03.07</t>
  </si>
  <si>
    <t>806638.01.01</t>
  </si>
  <si>
    <t>Почвоведение с основами агрохимии: лаб. практ.: Уч.пос. / О.А.Ульянова-М.:НИЦ ИНФРА-М,2024-263с.(ВО (КрГАУ))(п)</t>
  </si>
  <si>
    <t>ПОЧВОВЕДЕНИЕ С ОСНОВАМИ АГРОХИМИИ: ЛАБОРАТОРНЫЙ ПРАКТИКУМ</t>
  </si>
  <si>
    <t>Ульянова О.А., Кураченко Н.Л.</t>
  </si>
  <si>
    <t>978-5-16-019626-8</t>
  </si>
  <si>
    <t>35.03.01, 35.03.03, 35.03.05, 35.03.10, 35.04.03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</si>
  <si>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35.03.10 «Ландшафтная архитектура», профиль «Садово-парковое и ландшафтное строительство»</t>
  </si>
  <si>
    <t>Февраль, 2024</t>
  </si>
  <si>
    <t>416200.11.01</t>
  </si>
  <si>
    <t>Почвоведение с основами геологии: Уч. / Н.Ф.Ганжара - М.:НИЦ ИНФРА-М,2023-352с.(ВО: Бакалавр.)(П)</t>
  </si>
  <si>
    <t>ПОЧВОВЕДЕНИЕ С ОСНОВАМИ ГЕОЛОГИИ</t>
  </si>
  <si>
    <t>Ганжара Н.Ф., Борисов Б.А.</t>
  </si>
  <si>
    <t>978-5-16-006240-2</t>
  </si>
  <si>
    <t>05.03.06, 06.03.01, 06.03.02, 20.02.01, 20.03.02, 21.02.10, 21.03.02, 35.02.01, 35.03.01, 35.03.03, 35.03.04, 35.03.05, 35.03.10, 35.04.03</t>
  </si>
  <si>
    <t>Рекомендован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</si>
  <si>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416300.09.01</t>
  </si>
  <si>
    <t>Почвоведение. Практикум: Уч.пос. / Н.Ф.Ганжара - М.:НИЦ ИНФРА-М,2024 - 256 с.(ВО: Бакалавр.)(П)</t>
  </si>
  <si>
    <t>ПОЧВОВЕДЕНИЕ. ПРАКТИКУМ</t>
  </si>
  <si>
    <t>Ганжара Н. Ф., Борисов Б. А., Байбеков Р. Ф., Ганжара Н. Ф.</t>
  </si>
  <si>
    <t>978-5-16-018832-4</t>
  </si>
  <si>
    <t>05.03.03, 05.03.04, 05.03.06, 06.03.01, 06.03.02, 06.04.02, 20.02.01, 20.03.02, 21.02.10, 21.03.02, 35.02.01, 35.03.01, 35.03.03, 35.03.04, 35.03.05, 35.03.10, 44.03.05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</si>
  <si>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направлениям «Агрохимия и агропочвоведение», «Агрономия», «Садоводство»</t>
  </si>
  <si>
    <t>813211.01.01</t>
  </si>
  <si>
    <t>Почвоведение: практикум: Уч.пос. / А.А.Белоусов - М.:НИЦ ИНФРА-М,2024.-215 с.(ВО (КрГАУ))(п)</t>
  </si>
  <si>
    <t>Белоусов А.А., Власенко О.А., Демьяненко Т.Н.</t>
  </si>
  <si>
    <t>978-5-16-019547-6</t>
  </si>
  <si>
    <t>06.03.02, 35.03.05, 35.03.10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</si>
  <si>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35.03.07 «Технология производства и переработки сельскохозяйственной продукции» и 36.03.02 «Зоотехния»</t>
  </si>
  <si>
    <t>476600.08.01</t>
  </si>
  <si>
    <t>Почвоведение: справочник: Уч.пос. / В.Г.Мамонтов - М.:НИЦ ИНФРА-М,2023 - 365 с.(ВО: Бакалавриат)(П)</t>
  </si>
  <si>
    <t>ПОЧВОВЕДЕНИЕ: СПРАВОЧНИК</t>
  </si>
  <si>
    <t>Мамонтов В.Г.</t>
  </si>
  <si>
    <t>978-5-16-016731-2</t>
  </si>
  <si>
    <t>05.03.06, 06.03.01, 06.03.02, 06.04.02, 20.02.01, 20.03.02, 35.02.01, 35.03.01, 35.03.03, 35.03.04, 35.03.05, 35.03.10</t>
  </si>
  <si>
    <t>Допущено УМО вузов Российской Федерации по агрономическому образованию в качестве учебного пособия для бакалавров, обучающихся по направлениям подготовки 35.03.03 «Агрохимия и агропочвоведение», 35.03.04 «Агрономия» и 35.03.05 «Садоводство»</t>
  </si>
  <si>
    <t>181800.04.01</t>
  </si>
  <si>
    <t>Почвоведение: Уч.пос. / Под ред. Горбылевой А.И. - 2 изд. -М.:НИЦ ИНФРА-М, Нов.знание,2016-400с.(ВО)</t>
  </si>
  <si>
    <t>ПОЧВОВЕДЕНИЕ, ИЗД.2</t>
  </si>
  <si>
    <t>Горбылева А.И., Воробьев В.Б., Петровский Е.И. и др.</t>
  </si>
  <si>
    <t>978-5-16-005677-7</t>
  </si>
  <si>
    <t>05.03.06, 06.03.01, 06.03.02, 20.02.01, 20.03.02, 35.02.01, 35.03.01, 35.03.03, 35.03.04, 35.03.05, 35.03.10, 35.04.03, 35.04.04</t>
  </si>
  <si>
    <t>Допущено Министерством образования Республики Беларусь в качестве учебного пособия для студентов вузов по агрономическим специальностям</t>
  </si>
  <si>
    <t>0212</t>
  </si>
  <si>
    <t>325400.05.01</t>
  </si>
  <si>
    <t>Практикум по ветеринарной микробиол. и иммун.: Уч.пос. / В.Н.Кисленко-М.:НИЦ ИНФРА-М,2023.-232 с.(П)</t>
  </si>
  <si>
    <t>ПРАКТИКУМ ПО ВЕТЕРИНАРНОЙ МИКРОБИОЛОГИИ И ИММУНОЛОГИИ</t>
  </si>
  <si>
    <t>978-5-16-010543-7</t>
  </si>
  <si>
    <t>Рекомендовано в качестве учебного пособия для студентов высших учебных заведений, обучающихся по направлению подготовки 36.05.01 «Ветеринария» (квалификация «ветеринарный врач»)</t>
  </si>
  <si>
    <t>449750.06.01</t>
  </si>
  <si>
    <t>Практикум по гидравлике: Уч. пос. Н.Г. Кожевникова - М.: НИЦ ИНФРА-М, 2023. - 248 с. (ВО) (п)</t>
  </si>
  <si>
    <t>ПРАКТИКУМ ПО ГИДРАВЛИКЕ</t>
  </si>
  <si>
    <t>Кожевникова Н. Г., Тогунова Н. П., Ещин А. В., Шевкун Н. А.</t>
  </si>
  <si>
    <t>978-5-16-009119-8</t>
  </si>
  <si>
    <t>08.02.04, 20.03.02, 20.04.02, 35.03.06, 35.04.06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</si>
  <si>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</si>
  <si>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243700.09.01</t>
  </si>
  <si>
    <t>Практикум по клинич.диагностике с рентгенологией: Уч.пос. / Е.С.Воронин-М.:НИЦ ИНФРА-М,2024-336с(ВО)(П)</t>
  </si>
  <si>
    <t>ПРАКТИКУМ ПО КЛИНИЧЕСКОЙ ДИАГНОСТИКЕ С РЕНТГЕНОЛОГИЕЙ</t>
  </si>
  <si>
    <t>Воронин Е.С., Ковалев С.П., Сноз Г.В. и др.</t>
  </si>
  <si>
    <t>978-5-16-014370-5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</si>
  <si>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36.05.01 «Ветеринария»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</si>
  <si>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</si>
  <si>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</si>
  <si>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</si>
  <si>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</si>
  <si>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</si>
  <si>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085670.15.01</t>
  </si>
  <si>
    <t>Практикум по овощеводству: Уч.пос. / Н.Н.Чернышева-М.:Форум, НИЦ ИНФРА-М,2024.-288 с.(ВО)(п)</t>
  </si>
  <si>
    <t>978-5-00091-788-6</t>
  </si>
  <si>
    <t>35.03.04, 35.03.05, 35.04.04, 35.04.05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</si>
  <si>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студентов, обучающихся по направлению 35.03.04 «Агрономия»</t>
  </si>
  <si>
    <t>0107</t>
  </si>
  <si>
    <t>302500.03.01</t>
  </si>
  <si>
    <t>Практикум по химии почв: Уч.пос. / В.Г.Мамонтов -М.:Форум, НИЦ ИНФРА-М,2019.-272 с..-(ВО)(О)</t>
  </si>
  <si>
    <t>ПРАКТИКУМ ПО ХИМИИ ПОЧВ</t>
  </si>
  <si>
    <t>Мамонтов В.Г., Гладков А.А.</t>
  </si>
  <si>
    <t>978-5-91134-954-7</t>
  </si>
  <si>
    <t>06.03.02, 35.03.03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</si>
  <si>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 и бакалавров высших учебных заведений, обучающихся по направлению 35.03.03 «Агрохимия и агропочвоведение»</t>
  </si>
  <si>
    <t>302500.05.01</t>
  </si>
  <si>
    <t>Практикум по химии почв: уч.пос. / В.Г.Мамонтов, - 2-е изд.,-М.:НИЦ ИНФРА-М,2023.-272 с..-(ВО)(п)</t>
  </si>
  <si>
    <t>ХИМИЯ ПОЧВ: ПРАКТИКУМ, ИЗД.2</t>
  </si>
  <si>
    <t>978-5-16-019227-7</t>
  </si>
  <si>
    <t>Учебное пособие содержит сведения, необходимые для формирования профессиональных компетенций при подготовке бакалавров по направлению 35.03.03 «Агрохимия и агропочвоведение», и рекомендуется Научно-методическим советом по сельскому хозяйству для использования в учебном процессе</t>
  </si>
  <si>
    <t>Сентябрь, 2023</t>
  </si>
  <si>
    <t>0223</t>
  </si>
  <si>
    <t>348100.09.01</t>
  </si>
  <si>
    <t>Пресноводная аквакультура: Уч.пос. / В.А.Власов - М.:КУРС, НИЦ ИНФРА-М,2023 - 384 с.(П)</t>
  </si>
  <si>
    <t>ПРЕСНОВОДНАЯ АКВАКУЛЬТУРА</t>
  </si>
  <si>
    <t>Власов В.А.</t>
  </si>
  <si>
    <t>978-5-905554-88-9</t>
  </si>
  <si>
    <t>35.03.08, 35.03.09, 35.04.07, 35.04.08, 36.03.02, 36.04.02, 44.03.01, 44.03.05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</si>
  <si>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36.03.02 «Зоотехния» и 35.03.08 «Водные биоресурсы и аквакультура»</t>
  </si>
  <si>
    <t>444600.09.01</t>
  </si>
  <si>
    <t>Производство и переработка продукции животноводства: Уч. / А.И.Чикалев-М.:КУРС, НИЦ ИНФРА-М,2024-188 с.(П)</t>
  </si>
  <si>
    <t>ПРОИЗВОДСТВО И ПЕРЕРАБОТКА ПРОДУКЦИИ ЖИВОТНОВОДСТВА</t>
  </si>
  <si>
    <t>978-5-906818-03-4</t>
  </si>
  <si>
    <t>35.03.07, 36.03.02, 36.04.02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</si>
  <si>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35.03.07 "Технология производства и переработки сельскохозяйственной продукции" (квалификация (степень) "бакалавр")</t>
  </si>
  <si>
    <t>809267.01.01</t>
  </si>
  <si>
    <t>Производство продукции животноводства. Прак.: Уч.пос. / А.Г.Агейкин-М.:НИЦ ИНФРА-М,2024.-405 с.(ВО)(п)</t>
  </si>
  <si>
    <t>ПРОИЗВОДСТВО ПРОДУКЦИИ ЖИВОТНОВОДСТВА. ПРАКТИКУМ</t>
  </si>
  <si>
    <t>978-5-16-019396-0</t>
  </si>
  <si>
    <t>284000.06.01</t>
  </si>
  <si>
    <t>Протозойные болезни домашних животных: Моногр. / В.В.Белименко-М.:НИЦ ИНФРА-М,2024.-176с(Науч.мысль)(о)</t>
  </si>
  <si>
    <t>ПРОТОЗОЙНЫЕ БОЛЕЗНИ ДОМАШНИХ ЖИВОТНЫХ</t>
  </si>
  <si>
    <t>БелименкоВ.В.</t>
  </si>
  <si>
    <t>978-5-16-018684-9</t>
  </si>
  <si>
    <t>689984.04.01</t>
  </si>
  <si>
    <t>Птицеводство: Уч. / Под общ. ред. В.А.Реймера - М.:НИЦ ИНФРА-М,2023 - 389 с.(ВО: Бакалавриат)(П)</t>
  </si>
  <si>
    <t>ПТИЦЕВОДСТВО</t>
  </si>
  <si>
    <t>Реймер В.А.</t>
  </si>
  <si>
    <t>978-5-16-014432-0</t>
  </si>
  <si>
    <t>35.03.07, 36.03.02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</si>
  <si>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36.03.02 «Зоотехния», 35.03.07 «Технология производства и переработки сельскохозяйственной продукции» (квалификация (степень) «бакалавр») (протокол № 11 от 10.06.2019)</t>
  </si>
  <si>
    <t>306900.08.01</t>
  </si>
  <si>
    <t>Пчеловодство: Уч. / Н.Н.Харченко - 2 изд. - М.:НИЦ ИНФРА-М,2024 - 383 с.(ВО:Бакалавриат)(П)</t>
  </si>
  <si>
    <t>ПЧЕЛОВОДСТВО, ИЗД.2</t>
  </si>
  <si>
    <t>Н.Н.Харченко, В.Е.Рындин</t>
  </si>
  <si>
    <t>978-5-16-010266-5</t>
  </si>
  <si>
    <t>Рекомендовано в качестве учебника для студентов высших учебных заведений, обучающихся по направлениям подготовки 35.03.03 «Агрохимия и почвоведение", 35.03.05 «Агрохимия», 35.03.06 «Садоводство", 35.03.01 «Лесное дело", 05.03.06 «Экология и природопо</t>
  </si>
  <si>
    <t>661456.04.01</t>
  </si>
  <si>
    <t>Разведение с основами частной зоотехнии: Уч. / А.И.Чикалев - 2 изд.-М.:КУРС,НИЦ ИНФРА-М,2023-256с(П)</t>
  </si>
  <si>
    <t>РАЗВЕДЕНИЕ С ОСНОВАМИ ЧАСТНОЙ ЗООТЕХНИИ, ИЗД.2</t>
  </si>
  <si>
    <t>Чикалев А.И., Юлдашбаев Ю.А., Фейзуллаев Ф.Р.</t>
  </si>
  <si>
    <t>978-5-906923-50-9</t>
  </si>
  <si>
    <t>473950.07.01</t>
  </si>
  <si>
    <t>Растениеводство: практикум: Уч.пос. / Г.С.Посыпанов - М.:НИЦ ИНФРА-М,2024 - 255 с.(ВО)(п)</t>
  </si>
  <si>
    <t>РАСТЕНИЕВОДСТВО: ПРАКТИКУМ</t>
  </si>
  <si>
    <t>978-5-16-019451-6</t>
  </si>
  <si>
    <t>РекомендованоМинистерством сельского хозяйства Российской Федерации в качестве учебного пособия для студентов высших учебных заведений по агрономическим специальностям</t>
  </si>
  <si>
    <t>469700.06.01</t>
  </si>
  <si>
    <t>Растениеводство: Уч. / Под ред. Гатаулина Г.Г. - М.:НИЦ ИНФРА-М,2023 - 608 с.-(ВО: Бакалавриат)(П)</t>
  </si>
  <si>
    <t>РАСТЕНИЕВОДСТВО</t>
  </si>
  <si>
    <t>Гатаулина Г.Г., Бугаев П.Д., Долгодворов В.Е. и др.</t>
  </si>
  <si>
    <t>978-5-16-011564-1</t>
  </si>
  <si>
    <t>Рекомендовано в качестве учебника для студентов высших учебных заведений, обучающихся по направлению подготовки 35.03.04 «Агрономия» (квалификация (степень) «бакалавр»)</t>
  </si>
  <si>
    <t>329500.06.01</t>
  </si>
  <si>
    <t>Растениеводство: Уч. / Под ред. Посыпанова Г.С. - М.:НИЦ ИНФРА-М,2023 - 612 с.(ВО)(п)</t>
  </si>
  <si>
    <t>Посыпанов Г.С., Долгодворов В.Е., Жеруков Б.Х. и др.</t>
  </si>
  <si>
    <t>978-5-16-018475-3</t>
  </si>
  <si>
    <t>633379.04.01</t>
  </si>
  <si>
    <t>Сборник задач и вопросов по агрометеорологии: Уч.пос. / А.П.Лосев-М.:НИЦ ИНФРА-М,2023.-170 с.(ВО)(П)</t>
  </si>
  <si>
    <t>СБОРНИК ЗАДАЧ И ВОПРОСОВ ПО АГРОМЕТЕОРОЛОГИИ</t>
  </si>
  <si>
    <t>Лосев А.П.</t>
  </si>
  <si>
    <t>978-5-16-012065-2</t>
  </si>
  <si>
    <t>780325.01.01</t>
  </si>
  <si>
    <t>Сельскохозяйственная микробиология...: Уч.пос. / О.Д.Сидоренко-М.:НИЦ ИНФРА-М,2024.-245 с.(ВО)(п)</t>
  </si>
  <si>
    <t>СЕЛЬСКОХОЗЯЙСТВЕННАЯ МИКРОБИОЛОГИЯ. ВВЕДЕНИЕ В СПЕЦИАЛЬНОСТЬ</t>
  </si>
  <si>
    <t>978-5-16-018057-1</t>
  </si>
  <si>
    <t>35.03.03, 35.03.04, 35.03.05, 35.03.07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</si>
  <si>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</si>
  <si>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</si>
  <si>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</si>
  <si>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</si>
  <si>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Высшее образование (СФУ)</t>
  </si>
  <si>
    <t>978-5-16-019510-0</t>
  </si>
  <si>
    <t>20.03.02</t>
  </si>
  <si>
    <t>Сибирский федеральный университет</t>
  </si>
  <si>
    <t>480150.07.01</t>
  </si>
  <si>
    <t>Сельскохозяйственные машины: Уч.пос. / В.П.Капустин-М.:НИЦ ИНФРА-М,2023.-280с(ВО: Бакалавриат)(П))</t>
  </si>
  <si>
    <t>СЕЛЬСКОХОЗЯЙСТВЕННЫЕ МАШИНЫ</t>
  </si>
  <si>
    <t>Капустин В.П., Глазков Ю.Е.</t>
  </si>
  <si>
    <t>978-5-16-010345-7</t>
  </si>
  <si>
    <t>Допущено Учебно-методическим объединением вузов России по агроинженерному образованию в качестве учебного пособия для студентов высших учебных заведений, обучающихся по направлению подготовки 35.03.06 «Агроинженерия»</t>
  </si>
  <si>
    <t>Тамбовский государственный технический университет</t>
  </si>
  <si>
    <t>780861.01.01</t>
  </si>
  <si>
    <t>Семеноводство картофеля: Уч.пос. / А.И.Усков и др.-М.:НИЦ ИНФРА-М,2023.-162 с.(ВО)(п)</t>
  </si>
  <si>
    <t>СЕМЕНОВОДСТВО КАРТОФЕЛЯ</t>
  </si>
  <si>
    <t>Усков А.И., Овэс Е.В., Ускова Л.Б. и др.</t>
  </si>
  <si>
    <t>978-5-16-017803-5</t>
  </si>
  <si>
    <t>06.04.01, 35.03.04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</si>
  <si>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</si>
  <si>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</si>
  <si>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</si>
  <si>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</si>
  <si>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</si>
  <si>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</si>
  <si>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</si>
  <si>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098050.09.01</t>
  </si>
  <si>
    <t>Словарь терминов по акушерству, гинекол..: Сл. / Г.Д.Некрасов-М.:Форум, НИЦ ИНФРА-М,2023 -112с.(О)</t>
  </si>
  <si>
    <t>СЛОВАРЬ ТЕРМИНОВ ПО АКУШЕРСТВУ, ГИНЕКОЛОГИИ И БИОТЕХНИКЕ РАЗМНОЖЕНИЯ ЖИВОТНЫХ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</si>
  <si>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</si>
  <si>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</si>
  <si>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</si>
  <si>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</si>
  <si>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786600.01.01</t>
  </si>
  <si>
    <t>Совершенствование скота костромской породы..: Моногр. / А.А.Королев.-М.:НИЦ ИНФРА-М,2023.-206 с.(о)</t>
  </si>
  <si>
    <t>СОВЕРШЕНСТВОВАНИЕ СКОТА КОСТРОМСКОЙ ПОРОДЫ ПРИ ИСПОЛЬЗОВАНИИ БЫКОВ-ПРОИЗВОДИТЕЛЕЙ ОТЕЧЕСТВЕННОЙ И ИМПОРТНОЙ СЕЛЕКЦИИ</t>
  </si>
  <si>
    <t>Королев А.А., Баранова Н.С., Королева Е.А.</t>
  </si>
  <si>
    <t>978-5-16-017975-9</t>
  </si>
  <si>
    <t>36.04.02, 36.06.01</t>
  </si>
  <si>
    <t>Костромская государственная сельскохозяйственная академия</t>
  </si>
  <si>
    <t>648914.02.01</t>
  </si>
  <si>
    <t>Совершенствование технических средств перераб. отходов..: Моногр. / С.В.Фокин-М:НИЦ ИНФРА-М,2020-187с(П)</t>
  </si>
  <si>
    <t>СОВЕРШЕНСТВОВАНИЕ ТЕХНИЧЕСКИХ СРЕДСТВ ПЕРЕРАБОТКИ ОТХОДОВ ЛЕСОСЕЧНЫХ РАБОТ НА ТОПЛИВНУЮ ЩЕПУ В УСЛОВИЯХ ВЫРУБКИ</t>
  </si>
  <si>
    <t>Фокин С.В.</t>
  </si>
  <si>
    <t>978-5-16-012582-4</t>
  </si>
  <si>
    <t>35.03.02, 35.04.02</t>
  </si>
  <si>
    <t>446300.02.01</t>
  </si>
  <si>
    <t>Современные способы коррекции микрофлоры кишечника цыплят: монография / В.Н.Кисленко и др.-М.:НИЦ ИНФРА-М,2018.-99 с..-(Науч.мысль)(О. КБС)</t>
  </si>
  <si>
    <t>СОВРЕМЕННЫЕ СПОСОБЫ КОРРЕКЦИИ МИКРОФЛОРЫ КИШЕЧНИКА ЦЫПЛЯТ</t>
  </si>
  <si>
    <t>Кисленко В.Н., Тарабанова Е.В., Клемешова И.Ю. и др.</t>
  </si>
  <si>
    <t>978-5-16-011401-9</t>
  </si>
  <si>
    <t>782293.01.01</t>
  </si>
  <si>
    <t>Современные требования и принципы нормир. кормл...: Уч.пос. / А.Н.Лазаревич-М.:НИЦ ИНФРА-М,2023.-478 с.(П)</t>
  </si>
  <si>
    <t>СОВРЕМЕННЫЕ ТРЕБОВАНИЯ И ПРИНЦИПЫ НОРМИРОВАННОГО КОРМЛЕНИЯ ПРИ ВЫРАЩИВАНИИ И ОТКОРМЕ СВИНЕЙ</t>
  </si>
  <si>
    <t>Лазаревич А.Н., Пыжикова Н.И., Козина Е.А. и др.</t>
  </si>
  <si>
    <t>Высшее образование: Бакалавриат (КрГАУ)</t>
  </si>
  <si>
    <t>978-5-16-018202-5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</si>
  <si>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36.00.00 «Ветеринария и зоотехния» (квалификация (степень) «бакалавр») (протокол № 8 от 19.10.2022)</t>
  </si>
  <si>
    <t>651688.08.01</t>
  </si>
  <si>
    <t>Сооружения и оборуд. для хранения сельскохоз. прод.: Уч. / Под ред.Зимнякова В.М. -М.:НИЦ ИНФРА-М,2023-202 с.(ВО)(п)</t>
  </si>
  <si>
    <t>СООРУЖЕНИЯ И ОБОРУДОВАНИЕ ДЛЯ ХРАНЕНИЯ СЕЛЬСКОХОЗЯЙСТВЕННОЙ ПРОДУКЦИИ</t>
  </si>
  <si>
    <t>Зимняков В.М., Курочкин А.А., Милюткин В.А. и др.</t>
  </si>
  <si>
    <t>978-5-16-019352-6</t>
  </si>
  <si>
    <t>Рекомендовано Научно-методическим советом по сельскому хозяйству Федерального учебно-методического объединения по сельскому, лесному и рыбному хозяйству в системе высшего образования в качестве учебника для студентов,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</si>
  <si>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Пензенский государственный аграрный университет</t>
  </si>
  <si>
    <t>714123.03.01</t>
  </si>
  <si>
    <t>Техническая микробиология продукции животноводства: Уч.пос. / О.Д.Сидоренко, - 2 изд.-М.:НИЦ ИНФРА-М,2023.-224с(П)</t>
  </si>
  <si>
    <t>ТЕХНИЧЕСКАЯ МИКРОБИОЛОГИЯ ПРОДУКЦИИ ЖИВОТНОВОДСТВА, ИЗД.2</t>
  </si>
  <si>
    <t>Сидоренко О.Д., Жукова Е.В.</t>
  </si>
  <si>
    <t>978-5-16-015952-2</t>
  </si>
  <si>
    <t>19.03.03, 35.03.07</t>
  </si>
  <si>
    <t>Рекомендовано учебно-методическим объединением вузов Российской Федерации по агрономическому образованию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</si>
  <si>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0221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</si>
  <si>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</si>
  <si>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</si>
  <si>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</si>
  <si>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</si>
  <si>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085990.09.01</t>
  </si>
  <si>
    <t>Технол. проц. и оборуд. для приготовления кормов: Уч. пос. / И.Я. Федоренко - Форум, ИНФРА-М,2023-176с. (ВО) (О)</t>
  </si>
  <si>
    <t>ТЕХНОЛОГИЧЕСКИЕ ПРОЦЕССЫ И ОБОРУДОВАНИЕ ДЛЯ ПРИГОТОВЛЕНИЯ КОРМОВ</t>
  </si>
  <si>
    <t>Федоренко И. Я.</t>
  </si>
  <si>
    <t>978-5-91134-173-2</t>
  </si>
  <si>
    <t>35.03.06, 35.03.07, 36.03.02</t>
  </si>
  <si>
    <t>Рекомендовано учебно-методическим объединением вузов по агроинженерному образованию в качестве учебного пособия для студентов вузов, обучающихся по специальности 110301 - "Механизация сельского хозяйства"</t>
  </si>
  <si>
    <t>806622.01.01</t>
  </si>
  <si>
    <t>Технологии и оборуд. для сушки растител. сырья: Уч.пос. / В.Н.Тепляшин-М.:НИЦ ИНФРА-М,2024.-173 с.(ВО)(п)</t>
  </si>
  <si>
    <t>ТЕХНОЛОГИИ И ОБОРУДОВАНИЕ ДЛЯ СУШКИ РАСТИТЕЛЬНОГО СЫРЬЯ</t>
  </si>
  <si>
    <t>Тепляшин В.Н., Ченцова Л.И., Невзоров В.Н.</t>
  </si>
  <si>
    <t>978-5-16-019298-7</t>
  </si>
  <si>
    <t>15.03.02, 19.03.02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</si>
  <si>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15.03.02 «Технологические машины и оборудование»</t>
  </si>
  <si>
    <t>680957.02.01</t>
  </si>
  <si>
    <t>Технологическая подготовка предпр. тех. сервиса: Уч.пос. / Корнеев В.М. - М.:НИЦ ИНФРА-М,2022 - 244с(П)</t>
  </si>
  <si>
    <t>ТЕХНОЛОГИЧЕСКАЯ ПОДГОТОВКА ПРЕДПРИЯТИЙ ТЕХНИЧЕСКОГО СЕРВИСА</t>
  </si>
  <si>
    <t>Корнеев В.М., Кравченко И.Н., Петровский Д.И. и др.</t>
  </si>
  <si>
    <t>978-5-16-013817-6</t>
  </si>
  <si>
    <t>Рекомендовано Научно-методическим советом по технологиям, средствам механизации и энергетическому оборудованию в сельском хозяйстве Федерального УМО по сельскому, лесному и рыбному хозяйству в качестве учебного пособия для студентов, обучающихся по направлению подготовки 35.03.06 «Агроинженерия» (квалификация (степень) «бакалавр»)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</si>
  <si>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</si>
  <si>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</si>
  <si>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</si>
  <si>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</si>
  <si>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</si>
  <si>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637444.10.01</t>
  </si>
  <si>
    <t>Технология ремонта машин: Уч.пос. / С.В.Стребков - 2 изд. - М.:НИЦ ИНФРА-М,2023 - 246 с.(ВО)(П)</t>
  </si>
  <si>
    <t>ТЕХНОЛОГИЯ РЕМОНТА МАШИН, ИЗД.2</t>
  </si>
  <si>
    <t>Стребков С.В., Сахнов А.В.</t>
  </si>
  <si>
    <t>978-5-16-016565-3</t>
  </si>
  <si>
    <t>Рекомендовано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</si>
  <si>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</si>
  <si>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</si>
  <si>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</si>
  <si>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</si>
  <si>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</si>
  <si>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637444.06.01</t>
  </si>
  <si>
    <t>Технология ремонта машин: Уч.пос. / С.В.Стребков-М.:НИЦ ИНФРА-М,2021.-222 с..-(ВО: Бакалавриат)(П)</t>
  </si>
  <si>
    <t>978-5-16-012288-5</t>
  </si>
  <si>
    <t>477150.06.01</t>
  </si>
  <si>
    <t>Традиционная и метаболомическая селекция овец: Моногр./ В.И. Глазко - М.: КУРС: ИНФРА-М,2023 -560 с.(П)</t>
  </si>
  <si>
    <t>ТРАДИЦИОННАЯ И МЕТАБОЛОМИЧЕСКАЯ СЕЛЕКЦИЯ ОВЕЦ</t>
  </si>
  <si>
    <t>Глазко В.И., Юлдашбаев Ю.А., Кушнир А.В. и др.</t>
  </si>
  <si>
    <t>Наука</t>
  </si>
  <si>
    <t>978-5-905554-74-2</t>
  </si>
  <si>
    <t>777135.01.01</t>
  </si>
  <si>
    <t>Физиологические аспекты адаптации с/х животных к стрессорам / А.Ю.Ковтуненко-М.:НИЦ ИНФРА-М,2022.-181 с.(О)</t>
  </si>
  <si>
    <t>ФИЗИОЛОГИЧЕСКИЕ АСПЕКТЫ АДАПТАЦИИ СЕЛЬСКОХОЗЯЙСТВЕННЫХ ЖИВОТНЫХ К СТРЕССОРАМ</t>
  </si>
  <si>
    <t>Ковтуненко А.Ю., Бусловская Л.К.</t>
  </si>
  <si>
    <t>978-5-16-017688-8</t>
  </si>
  <si>
    <t>36.03.01, 36.04.02, 36.05.01, 36.06.01</t>
  </si>
  <si>
    <t>Белгородский государственный национальный исследовательский университет</t>
  </si>
  <si>
    <t>634604.06.01</t>
  </si>
  <si>
    <t>Фитоиммунитет: Уч. / Ю.Т.Дьяков - М.:НИЦ ИНФРА-М,2024 - 178 с.(ВО: Магистратура)(П)</t>
  </si>
  <si>
    <t>ФИТОИММУНИТЕТ</t>
  </si>
  <si>
    <t>Дьяков Ю.Т.</t>
  </si>
  <si>
    <t>978-5-16-012183-3</t>
  </si>
  <si>
    <t>06.04.01, 35.03.04, 35.04.04</t>
  </si>
  <si>
    <t>Московский государственный университет им. М.В. Ломоносова, биологический факультет</t>
  </si>
  <si>
    <t>281900.09.01</t>
  </si>
  <si>
    <t>Фитопатология: Уч. / Под ред. Белошапкиной О.О. - М.:НИЦ ИНФРА-М,2023 - 288 с.-(ВО: Бакалавриат)(П)</t>
  </si>
  <si>
    <t>ФИТОПАТОЛОГИЯ</t>
  </si>
  <si>
    <t>Белошапкина О.О., Глинушкин А.П., Джалилов Ф.С. и др.</t>
  </si>
  <si>
    <t>978-5-16-009862-3</t>
  </si>
  <si>
    <t>35.03.03, 35.03.04, 35.03.05, 35.03.07, 35.04.03, 35.04.04, 35.04.05</t>
  </si>
  <si>
    <t>Допущено УМО вузов РФ по агрономическому образованию в качестве учебника для подготовки бакалавров, обучающихся по направлениям 35.03.04 «Агрономия», 35.03.03 «Агрохимия и агропочвоведение», 35.03.05 «Садоводство», 35.03.07 «Технология производства и переработки сельскохозяйственной продукции»</t>
  </si>
  <si>
    <t>432100.06.01</t>
  </si>
  <si>
    <t>Эволюция,эколог.и этология медонос.пчелы: Моногр./Е.К.Еськов-М.:НИЦ ИНФРА-М,2024-291с(Науч.мысль)(о)</t>
  </si>
  <si>
    <t>ЭВОЛЮЦИЯ, ЭКОЛОГИЯ И ЭТОЛОГИЯ МЕДОНОСНОЙ ПЧЕЛЫ</t>
  </si>
  <si>
    <t>Еськов Е.К.</t>
  </si>
  <si>
    <t>978-5-16-012149-9</t>
  </si>
  <si>
    <t>Российский государственный университет народного хозяйства им. В.И.Вернадского</t>
  </si>
  <si>
    <t>769695.01.01</t>
  </si>
  <si>
    <t>Экокомбайны как новый вид экозащитной техники: Моногр. / Б.С.Ксенофонтов-М.:НИЦ ИНФРА-М,2022.-190 с.(О)</t>
  </si>
  <si>
    <t>ЭКОКОМБАЙНЫ КАК НОВЫЙ ВИД ЭКОЗАЩИТНОЙ ТЕХНИКИ</t>
  </si>
  <si>
    <t>Ксенофонтов Б.С.</t>
  </si>
  <si>
    <t>978-5-16-017406-8</t>
  </si>
  <si>
    <t>20.04.01, 20.04.02, 20.06.01, 20.07.01</t>
  </si>
  <si>
    <t>Московский государственный технический университет им. Н.Э. Баумана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</si>
  <si>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</si>
  <si>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</si>
  <si>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</si>
  <si>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Хорольский В.Я., Таранов М.А., Шемякин В.Н. и др.</t>
  </si>
  <si>
    <t>978-5-91134-882-3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</si>
  <si>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</si>
  <si>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</si>
  <si>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Ставропольский государственный аграрный университет</t>
  </si>
  <si>
    <t>251300.05.01</t>
  </si>
  <si>
    <t>Эксплуатация сельскохоз. техники. Практ.: Уч.пос./А.В.Новиков-М.:НИЦ ИНФРА-М, Нов.зн.,2024.-176с.(П)</t>
  </si>
  <si>
    <t>ЭКСПЛУАТАЦИЯ СЕЛЬСКОХОЗЯЙСТВЕННОЙ ТЕХНИКИ. ПРАКТИКУМ</t>
  </si>
  <si>
    <t>978-5-16-018927-7</t>
  </si>
  <si>
    <t>Практикум</t>
  </si>
  <si>
    <t>23.03.02, 23.04.02, 35.03.06, 35.04.06</t>
  </si>
  <si>
    <t>Допущено Министерством образования Республики Беларусь в качестве учебного пособия для студентов учреждений высшего образования по агрономическим специальностям</t>
  </si>
  <si>
    <t>272300.04.01</t>
  </si>
  <si>
    <t>Эксплуатация электрооборудования. Задачник: Уч. пос./М.А.Таранов - Форум: ИНФРА-М, 2020-176с.(ВО)(о)</t>
  </si>
  <si>
    <t>ЭКСПЛУАТАЦИЯ ЭЛЕКТРООБОРУДОВАНИЯ. ЗАДАЧНИК</t>
  </si>
  <si>
    <t>Таранов М.А., Медведько Ю.А., Хорольский В.Я.</t>
  </si>
  <si>
    <t>978-5-91134-864-9</t>
  </si>
  <si>
    <t>13.03.01, 13.03.02, 35.03.06</t>
  </si>
  <si>
    <t>Допущено Министерством сельского хозяйства "Российской Федерации в качестве учебного пособия дня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</t>
  </si>
  <si>
    <t>704322.04.01</t>
  </si>
  <si>
    <t>Эксплуатация электрооборудования. Задачник:Уч.пос. / В.Я.Хорольский-М.:Форум, НИЦ ИНФРА-М,2024.-176с</t>
  </si>
  <si>
    <t>Хорольский В.Я., Таранов М.А., Медведько Ю.А.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</si>
  <si>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</si>
  <si>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</si>
  <si>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</si>
  <si>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240700.07.01</t>
  </si>
  <si>
    <t>Эксплуатация электрооборудования: Уч. / Г.Н. Ерошенко - М.: НИЦ ИНФРА-М, 2019-336с.(ВО) (п)</t>
  </si>
  <si>
    <t>ЭКСПЛУАТАЦИЯ ЭЛЕКТРООБОРУДОВАНИЯ</t>
  </si>
  <si>
    <t>Ерошенко Г.П., Кондратьева Н.П.</t>
  </si>
  <si>
    <t>978-5-16-006017-0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</si>
  <si>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</si>
  <si>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672472.05.01</t>
  </si>
  <si>
    <t>Электрические измерения: Уч.пос. / А.В.Кравцов - М.:ИЦ РИОР, НИЦ ИНФРА-М,2023 - 148 с.(О)</t>
  </si>
  <si>
    <t>ЭЛЕКТРИЧЕСКИЕ ИЗМЕРЕНИЯ</t>
  </si>
  <si>
    <t>Кравцов А.В., Пузарин А.В.</t>
  </si>
  <si>
    <t>978-5-369-01736-4</t>
  </si>
  <si>
    <t>04.03.02, 13.03.02, 15.02.07</t>
  </si>
  <si>
    <t>741175.01.01</t>
  </si>
  <si>
    <t>Электроактивация сред в технологиях сельск. хоз...: Моногр. / Н.В.Ксенз-М.:НИЦ ИНФРА-М,2021.-306 с.(Науч.мысль)(О)</t>
  </si>
  <si>
    <t>ЭЛЕКТРОАКТИВАЦИЯ СРЕД В ТЕХНОЛОГИЯХ СЕЛЬСКОГО ХОЗЯЙСТВА КАК СПОСОБ ИНТЕНСИФИКАЦИИ ПРОИЗВОДСТВЕННЫХ ПРОЦЕССОВ</t>
  </si>
  <si>
    <t>Ксенз Н.В., Чеба Б.П., Юдаев И.В. и др.</t>
  </si>
  <si>
    <t>978-5-16-016462-5</t>
  </si>
  <si>
    <t>35.03.06, 35.04.06, 35.06.04</t>
  </si>
  <si>
    <t>Донской государственный аграрный университет, ф-л Азово-Черноморский инженерный институт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</si>
  <si>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</si>
  <si>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</si>
  <si>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</si>
  <si>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</si>
  <si>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</si>
  <si>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</si>
  <si>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</si>
  <si>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268100.08.01</t>
  </si>
  <si>
    <t>Электробезопасность эксплуатации сельских электроустан.: Уч. пос./М.А.Таранов-Форум:ИНФРА-М,2024-96с (о)</t>
  </si>
  <si>
    <t>Таранов М. А., Хорольский В. Я., Привалов Е. Е.</t>
  </si>
  <si>
    <t>978-5-91134-858-8</t>
  </si>
  <si>
    <t>13.03.02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</si>
  <si>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«Электроэнергетик</t>
  </si>
  <si>
    <t>308200.01.01</t>
  </si>
  <si>
    <t>Электроснабжение сельского хоз-ва: Практ./Г.И.Янукович - М.: ИНФРА-М; Мн.: Нов. знан.,2015-516с.(ВО)</t>
  </si>
  <si>
    <t>ЭЛЕКТРОСНАБЖЕНИЕ СЕЛЬСКОГО ХОЗЯЙСТВА</t>
  </si>
  <si>
    <t>Янукович Г.И., Протосовицкий И.В., Зеленькевич А.И.</t>
  </si>
  <si>
    <t>978-5-16-010297-9</t>
  </si>
  <si>
    <t>13.02.13, 13.03.02, 35.03.06, 35.04.06</t>
  </si>
  <si>
    <t>Белорусский государственный аграрный технический университет</t>
  </si>
  <si>
    <t>00.00.00</t>
  </si>
  <si>
    <t>ОБЩИЕ ДИСЦИПЛИНЫ ДЛЯ ВСЕХ СПЕЦИАЛЬНОСТЕЙ</t>
  </si>
  <si>
    <t>00.03.16</t>
  </si>
  <si>
    <t>Основы научных исследований</t>
  </si>
  <si>
    <t>00.04.16</t>
  </si>
  <si>
    <t>00.05.16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</si>
  <si>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</si>
  <si>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</si>
  <si>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</si>
  <si>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</si>
  <si>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</si>
  <si>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</si>
  <si>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05.02.03</t>
  </si>
  <si>
    <t>Метеорология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</si>
  <si>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</si>
  <si>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</si>
  <si>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</si>
  <si>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</si>
  <si>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</si>
  <si>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</si>
  <si>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</si>
  <si>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</si>
  <si>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</si>
  <si>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</si>
  <si>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</si>
  <si>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</si>
  <si>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</si>
  <si>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</si>
  <si>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</si>
  <si>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06.04.01</t>
  </si>
  <si>
    <t>06.04.02</t>
  </si>
  <si>
    <t>06.06.01</t>
  </si>
  <si>
    <t>Биологические науки</t>
  </si>
  <si>
    <t>08.00.00</t>
  </si>
  <si>
    <t>ТЕХНИКА И ТЕХНОЛОГИИ СТРОИТЕЛЬСТВА</t>
  </si>
  <si>
    <t>08.02.04</t>
  </si>
  <si>
    <t>Водоснабжение и водоотведение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</si>
  <si>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</si>
  <si>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</si>
  <si>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</si>
  <si>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</si>
  <si>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</si>
  <si>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</si>
  <si>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</si>
  <si>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</si>
  <si>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</si>
  <si>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</si>
  <si>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</si>
  <si>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</si>
  <si>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</si>
  <si>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</si>
  <si>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</si>
  <si>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</si>
  <si>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</si>
  <si>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</si>
  <si>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</si>
  <si>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</si>
  <si>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</si>
  <si>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</si>
  <si>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</si>
  <si>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</si>
  <si>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</si>
  <si>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</si>
  <si>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</si>
  <si>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</si>
  <si>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</si>
  <si>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</si>
  <si>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</si>
  <si>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</si>
  <si>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</si>
  <si>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</si>
  <si>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</si>
  <si>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</si>
  <si>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</si>
  <si>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</si>
  <si>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</si>
  <si>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</si>
  <si>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</si>
  <si>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</si>
  <si>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</si>
  <si>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</si>
  <si>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</si>
  <si>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</si>
  <si>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</si>
  <si>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Природообустройство и водопользование</t>
  </si>
  <si>
    <t>20.04.01</t>
  </si>
  <si>
    <t>Техносферная безопасность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</si>
  <si>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</si>
  <si>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</si>
  <si>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</si>
  <si>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</si>
  <si>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</si>
  <si>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</si>
  <si>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</si>
  <si>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</si>
  <si>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</si>
  <si>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</si>
  <si>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</si>
  <si>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21.03.02</t>
  </si>
  <si>
    <t>Землеустройство и кадастры</t>
  </si>
  <si>
    <t>23.00.00</t>
  </si>
  <si>
    <t>ТЕХНИКА И ТЕХНОЛОГИИ НАЗЕМНОГО ТРАНСПОРТА</t>
  </si>
  <si>
    <t>23.03.02</t>
  </si>
  <si>
    <t>Наземные транспортно-технологические комплексы</t>
  </si>
  <si>
    <t>23.04.02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</si>
  <si>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</si>
  <si>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</si>
  <si>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</si>
  <si>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</si>
  <si>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</si>
  <si>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</si>
  <si>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35.01.01</t>
  </si>
  <si>
    <t>Мастер по лесному хозяйству</t>
  </si>
  <si>
    <t>35.01.12</t>
  </si>
  <si>
    <t>Заготовитель продуктов и сырья</t>
  </si>
  <si>
    <t>35.01.19</t>
  </si>
  <si>
    <t>Мастер садово-паркового и ландшафтного строительства</t>
  </si>
  <si>
    <t>35.01.21</t>
  </si>
  <si>
    <t>Оленевод-механизатор</t>
  </si>
  <si>
    <t>35.01.26</t>
  </si>
  <si>
    <t>Мастер растениеводства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</si>
  <si>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</si>
  <si>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</si>
  <si>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</si>
  <si>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</si>
  <si>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</si>
  <si>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</si>
  <si>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</si>
  <si>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</si>
  <si>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</si>
  <si>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</si>
  <si>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</si>
  <si>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</si>
  <si>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</si>
  <si>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</si>
  <si>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</si>
  <si>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</si>
  <si>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</si>
  <si>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Садоводство</t>
  </si>
  <si>
    <t>Агроинженерия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</si>
  <si>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</si>
  <si>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</si>
  <si>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</si>
  <si>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</si>
  <si>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</si>
  <si>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35.03.10</t>
  </si>
  <si>
    <t>Ландшафтная архитектура</t>
  </si>
  <si>
    <t>35.04.01</t>
  </si>
  <si>
    <t>35.04.02</t>
  </si>
  <si>
    <t>35.04.03</t>
  </si>
  <si>
    <t>35.04.05</t>
  </si>
  <si>
    <t>35.04.07</t>
  </si>
  <si>
    <t>35.04.08</t>
  </si>
  <si>
    <t>35.06.01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</si>
  <si>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</si>
  <si>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</si>
  <si>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</si>
  <si>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</si>
  <si>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</si>
  <si>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</si>
  <si>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</si>
  <si>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</si>
  <si>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</si>
  <si>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</si>
  <si>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</si>
  <si>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36.03.01</t>
  </si>
  <si>
    <t>Ветеринарно-санитарная экспертиза</t>
  </si>
  <si>
    <t>36.04.02</t>
  </si>
  <si>
    <t>36.06.01</t>
  </si>
  <si>
    <t>Ветеринария и зоотехния</t>
  </si>
  <si>
    <t>44.00.00</t>
  </si>
  <si>
    <t>ОБРАЗОВАНИЕ И ПЕДАГОГИЧЕСКИЕ НАУКИ</t>
  </si>
  <si>
    <t>44.03.01</t>
  </si>
  <si>
    <t>Педагогическое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</si>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</sst>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2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3264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725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HYPERLINK("https://media.infra-m.ru/2032/2032539/cover/2032539.jpg", "Обложка")</f>
        <v>Обложка</v>
      </c>
      <c r="V8" s="28" t="str">
        <f>HYPERLINK("https://znanium.ru/catalog/product/1937951",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2894</v>
      </c>
      <c r="D9" s="8" t="s">
        <v>50</v>
      </c>
      <c r="E9" s="8" t="s">
        <v>35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725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43</v>
      </c>
      <c r="Q9" s="8" t="s">
        <v>55</v>
      </c>
      <c r="R9" s="10" t="s">
        <v>56</v>
      </c>
      <c r="S9" s="11" t="s">
        <v>57</v>
      </c>
      <c r="T9" s="6"/>
      <c r="U9" s="28" t="str">
        <f>HYPERLINK("https://media.infra-m.ru/2122/2122875/cover/2122875.jpg", "Обложка")</f>
        <v>Обложка</v>
      </c>
      <c r="V9" s="28" t="str">
        <f>HYPERLINK("https://znanium.ru/catalog/product/2122874", "Ознакомиться")</f>
        <v>Ознакомиться</v>
      </c>
      <c r="W9" s="8" t="s">
        <v>47</v>
      </c>
      <c r="X9" s="6"/>
      <c r="Y9" s="6"/>
      <c r="Z9" s="6" t="s">
        <v>58</v>
      </c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7">
        <v>1610</v>
      </c>
      <c r="D10" s="8" t="s">
        <v>61</v>
      </c>
      <c r="E10" s="8" t="s">
        <v>62</v>
      </c>
      <c r="F10" s="8" t="s">
        <v>63</v>
      </c>
      <c r="G10" s="6" t="s">
        <v>52</v>
      </c>
      <c r="H10" s="6" t="s">
        <v>38</v>
      </c>
      <c r="I10" s="8" t="s">
        <v>64</v>
      </c>
      <c r="J10" s="9">
        <v>1</v>
      </c>
      <c r="K10" s="9">
        <v>350</v>
      </c>
      <c r="L10" s="9">
        <v>2024</v>
      </c>
      <c r="M10" s="8" t="s">
        <v>65</v>
      </c>
      <c r="N10" s="8" t="s">
        <v>41</v>
      </c>
      <c r="O10" s="8" t="s">
        <v>42</v>
      </c>
      <c r="P10" s="6" t="s">
        <v>66</v>
      </c>
      <c r="Q10" s="8" t="s">
        <v>44</v>
      </c>
      <c r="R10" s="10" t="s">
        <v>67</v>
      </c>
      <c r="S10" s="11" t="s">
        <v>68</v>
      </c>
      <c r="T10" s="6"/>
      <c r="U10" s="28" t="str">
        <f>HYPERLINK("https://media.infra-m.ru/2128/2128806/cover/2128806.jpg", "Обложка")</f>
        <v>Обложка</v>
      </c>
      <c r="V10" s="28" t="str">
        <f>HYPERLINK("https://znanium.ru/catalog/product/2128806",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1610</v>
      </c>
      <c r="D11" s="8" t="s">
        <v>72</v>
      </c>
      <c r="E11" s="8" t="s">
        <v>62</v>
      </c>
      <c r="F11" s="8" t="s">
        <v>63</v>
      </c>
      <c r="G11" s="6" t="s">
        <v>52</v>
      </c>
      <c r="H11" s="6" t="s">
        <v>38</v>
      </c>
      <c r="I11" s="8" t="s">
        <v>53</v>
      </c>
      <c r="J11" s="9">
        <v>1</v>
      </c>
      <c r="K11" s="9">
        <v>350</v>
      </c>
      <c r="L11" s="9">
        <v>2024</v>
      </c>
      <c r="M11" s="8" t="s">
        <v>73</v>
      </c>
      <c r="N11" s="8" t="s">
        <v>41</v>
      </c>
      <c r="O11" s="8" t="s">
        <v>42</v>
      </c>
      <c r="P11" s="6" t="s">
        <v>66</v>
      </c>
      <c r="Q11" s="8" t="s">
        <v>55</v>
      </c>
      <c r="R11" s="10" t="s">
        <v>74</v>
      </c>
      <c r="S11" s="11" t="s">
        <v>75</v>
      </c>
      <c r="T11" s="6"/>
      <c r="U11" s="28" t="str">
        <f>HYPERLINK("https://media.infra-m.ru/1869/1869167/cover/1869167.jpg", "Обложка")</f>
        <v>Обложка</v>
      </c>
      <c r="V11" s="28" t="str">
        <f>HYPERLINK("https://znanium.ru/catalog/product/1869167", "Ознакомиться")</f>
        <v>Ознакомиться</v>
      </c>
      <c r="W11" s="8" t="s">
        <v>69</v>
      </c>
      <c r="X11" s="6"/>
      <c r="Y11" s="6" t="s">
        <v>30</v>
      </c>
      <c r="Z11" s="6" t="s">
        <v>58</v>
      </c>
      <c r="AA11" s="6" t="s">
        <v>76</v>
      </c>
    </row>
    <row r="12" spans="1:27" s="4" customFormat="1" ht="51.95" customHeight="1">
      <c r="A12" s="5">
        <v>0</v>
      </c>
      <c r="B12" s="6" t="s">
        <v>77</v>
      </c>
      <c r="C12" s="13">
        <v>940</v>
      </c>
      <c r="D12" s="8" t="s">
        <v>78</v>
      </c>
      <c r="E12" s="8" t="s">
        <v>79</v>
      </c>
      <c r="F12" s="8" t="s">
        <v>80</v>
      </c>
      <c r="G12" s="6" t="s">
        <v>37</v>
      </c>
      <c r="H12" s="6" t="s">
        <v>38</v>
      </c>
      <c r="I12" s="8" t="s">
        <v>81</v>
      </c>
      <c r="J12" s="9">
        <v>1</v>
      </c>
      <c r="K12" s="9">
        <v>192</v>
      </c>
      <c r="L12" s="9">
        <v>2024</v>
      </c>
      <c r="M12" s="8" t="s">
        <v>82</v>
      </c>
      <c r="N12" s="8" t="s">
        <v>41</v>
      </c>
      <c r="O12" s="8" t="s">
        <v>42</v>
      </c>
      <c r="P12" s="6" t="s">
        <v>43</v>
      </c>
      <c r="Q12" s="8" t="s">
        <v>83</v>
      </c>
      <c r="R12" s="10" t="s">
        <v>84</v>
      </c>
      <c r="S12" s="11" t="s">
        <v>85</v>
      </c>
      <c r="T12" s="6"/>
      <c r="U12" s="28" t="str">
        <f>HYPERLINK("https://media.infra-m.ru/2125/2125283/cover/2125283.jpg", "Обложка")</f>
        <v>Обложка</v>
      </c>
      <c r="V12" s="28" t="str">
        <f>HYPERLINK("https://znanium.ru/catalog/product/2125283", "Ознакомиться")</f>
        <v>Ознакомиться</v>
      </c>
      <c r="W12" s="8" t="s">
        <v>86</v>
      </c>
      <c r="X12" s="6" t="s">
        <v>87</v>
      </c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1574.9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351</v>
      </c>
      <c r="L13" s="9">
        <v>2023</v>
      </c>
      <c r="M13" s="8" t="s">
        <v>93</v>
      </c>
      <c r="N13" s="8" t="s">
        <v>41</v>
      </c>
      <c r="O13" s="8" t="s">
        <v>42</v>
      </c>
      <c r="P13" s="6" t="s">
        <v>43</v>
      </c>
      <c r="Q13" s="8" t="s">
        <v>44</v>
      </c>
      <c r="R13" s="10" t="s">
        <v>94</v>
      </c>
      <c r="S13" s="11" t="s">
        <v>95</v>
      </c>
      <c r="T13" s="6"/>
      <c r="U13" s="28" t="str">
        <f>HYPERLINK("https://media.infra-m.ru/1911/1911205/cover/1911205.jpg", "Обложка")</f>
        <v>Обложка</v>
      </c>
      <c r="V13" s="28" t="str">
        <f>HYPERLINK("https://znanium.ru/catalog/product/1937952", "Ознакомиться")</f>
        <v>Ознакомиться</v>
      </c>
      <c r="W13" s="8" t="s">
        <v>47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1614</v>
      </c>
      <c r="D14" s="8" t="s">
        <v>98</v>
      </c>
      <c r="E14" s="8" t="s">
        <v>91</v>
      </c>
      <c r="F14" s="8" t="s">
        <v>92</v>
      </c>
      <c r="G14" s="6" t="s">
        <v>37</v>
      </c>
      <c r="H14" s="6" t="s">
        <v>38</v>
      </c>
      <c r="I14" s="8" t="s">
        <v>53</v>
      </c>
      <c r="J14" s="9">
        <v>1</v>
      </c>
      <c r="K14" s="9">
        <v>351</v>
      </c>
      <c r="L14" s="9">
        <v>2024</v>
      </c>
      <c r="M14" s="8" t="s">
        <v>99</v>
      </c>
      <c r="N14" s="8" t="s">
        <v>41</v>
      </c>
      <c r="O14" s="8" t="s">
        <v>42</v>
      </c>
      <c r="P14" s="6" t="s">
        <v>43</v>
      </c>
      <c r="Q14" s="8" t="s">
        <v>55</v>
      </c>
      <c r="R14" s="10" t="s">
        <v>100</v>
      </c>
      <c r="S14" s="11" t="s">
        <v>101</v>
      </c>
      <c r="T14" s="6"/>
      <c r="U14" s="28" t="str">
        <f>HYPERLINK("https://media.infra-m.ru/2107/2107289/cover/2107289.jpg", "Обложка")</f>
        <v>Обложка</v>
      </c>
      <c r="V14" s="28" t="str">
        <f>HYPERLINK("https://znanium.ru/catalog/product/1147413", "Ознакомиться")</f>
        <v>Ознакомиться</v>
      </c>
      <c r="W14" s="8" t="s">
        <v>47</v>
      </c>
      <c r="X14" s="6"/>
      <c r="Y14" s="6"/>
      <c r="Z14" s="6" t="s">
        <v>58</v>
      </c>
      <c r="AA14" s="6" t="s">
        <v>59</v>
      </c>
    </row>
    <row r="15" spans="1:27" s="4" customFormat="1" ht="51.95" customHeight="1">
      <c r="A15" s="5">
        <v>0</v>
      </c>
      <c r="B15" s="6" t="s">
        <v>102</v>
      </c>
      <c r="C15" s="13">
        <v>740</v>
      </c>
      <c r="D15" s="8" t="s">
        <v>103</v>
      </c>
      <c r="E15" s="8" t="s">
        <v>104</v>
      </c>
      <c r="F15" s="8" t="s">
        <v>105</v>
      </c>
      <c r="G15" s="6" t="s">
        <v>52</v>
      </c>
      <c r="H15" s="6" t="s">
        <v>38</v>
      </c>
      <c r="I15" s="8" t="s">
        <v>106</v>
      </c>
      <c r="J15" s="9">
        <v>1</v>
      </c>
      <c r="K15" s="9">
        <v>156</v>
      </c>
      <c r="L15" s="9">
        <v>2023</v>
      </c>
      <c r="M15" s="8" t="s">
        <v>107</v>
      </c>
      <c r="N15" s="8" t="s">
        <v>41</v>
      </c>
      <c r="O15" s="8" t="s">
        <v>42</v>
      </c>
      <c r="P15" s="6" t="s">
        <v>108</v>
      </c>
      <c r="Q15" s="8" t="s">
        <v>109</v>
      </c>
      <c r="R15" s="10" t="s">
        <v>110</v>
      </c>
      <c r="S15" s="11"/>
      <c r="T15" s="6"/>
      <c r="U15" s="28" t="str">
        <f>HYPERLINK("https://media.infra-m.ru/2019/2019757/cover/2019757.jpg", "Обложка")</f>
        <v>Обложка</v>
      </c>
      <c r="V15" s="28" t="str">
        <f>HYPERLINK("https://znanium.ru/catalog/product/2019757", "Ознакомиться")</f>
        <v>Ознакомиться</v>
      </c>
      <c r="W15" s="8" t="s">
        <v>111</v>
      </c>
      <c r="X15" s="6"/>
      <c r="Y15" s="6"/>
      <c r="Z15" s="6"/>
      <c r="AA15" s="6" t="s">
        <v>112</v>
      </c>
    </row>
    <row r="16" spans="1:27" s="4" customFormat="1" ht="51.95" customHeight="1">
      <c r="A16" s="5">
        <v>0</v>
      </c>
      <c r="B16" s="6" t="s">
        <v>113</v>
      </c>
      <c r="C16" s="7">
        <v>1320</v>
      </c>
      <c r="D16" s="8" t="s">
        <v>114</v>
      </c>
      <c r="E16" s="8" t="s">
        <v>115</v>
      </c>
      <c r="F16" s="8" t="s">
        <v>116</v>
      </c>
      <c r="G16" s="6" t="s">
        <v>117</v>
      </c>
      <c r="H16" s="6" t="s">
        <v>38</v>
      </c>
      <c r="I16" s="8" t="s">
        <v>106</v>
      </c>
      <c r="J16" s="9">
        <v>1</v>
      </c>
      <c r="K16" s="9">
        <v>286</v>
      </c>
      <c r="L16" s="9">
        <v>2024</v>
      </c>
      <c r="M16" s="8" t="s">
        <v>118</v>
      </c>
      <c r="N16" s="8" t="s">
        <v>41</v>
      </c>
      <c r="O16" s="8" t="s">
        <v>42</v>
      </c>
      <c r="P16" s="6" t="s">
        <v>108</v>
      </c>
      <c r="Q16" s="8" t="s">
        <v>109</v>
      </c>
      <c r="R16" s="10" t="s">
        <v>119</v>
      </c>
      <c r="S16" s="11"/>
      <c r="T16" s="6"/>
      <c r="U16" s="28" t="str">
        <f>HYPERLINK("https://media.infra-m.ru/2080/2080722/cover/2080722.jpg", "Обложка")</f>
        <v>Обложка</v>
      </c>
      <c r="V16" s="28" t="str">
        <f>HYPERLINK("https://znanium.ru/catalog/product/2080722",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13">
        <v>824</v>
      </c>
      <c r="D17" s="8" t="s">
        <v>123</v>
      </c>
      <c r="E17" s="8" t="s">
        <v>124</v>
      </c>
      <c r="F17" s="8" t="s">
        <v>125</v>
      </c>
      <c r="G17" s="6" t="s">
        <v>117</v>
      </c>
      <c r="H17" s="6" t="s">
        <v>126</v>
      </c>
      <c r="I17" s="8" t="s">
        <v>64</v>
      </c>
      <c r="J17" s="9">
        <v>1</v>
      </c>
      <c r="K17" s="9">
        <v>176</v>
      </c>
      <c r="L17" s="9">
        <v>2024</v>
      </c>
      <c r="M17" s="8" t="s">
        <v>127</v>
      </c>
      <c r="N17" s="8" t="s">
        <v>41</v>
      </c>
      <c r="O17" s="8" t="s">
        <v>42</v>
      </c>
      <c r="P17" s="6" t="s">
        <v>43</v>
      </c>
      <c r="Q17" s="8" t="s">
        <v>44</v>
      </c>
      <c r="R17" s="10" t="s">
        <v>128</v>
      </c>
      <c r="S17" s="11" t="s">
        <v>129</v>
      </c>
      <c r="T17" s="6"/>
      <c r="U17" s="28" t="str">
        <f>HYPERLINK("https://media.infra-m.ru/1905/1905891/cover/1905891.jpg", "Обложка")</f>
        <v>Обложка</v>
      </c>
      <c r="V17" s="12"/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13">
        <v>810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126</v>
      </c>
      <c r="I18" s="8" t="s">
        <v>53</v>
      </c>
      <c r="J18" s="9">
        <v>1</v>
      </c>
      <c r="K18" s="9">
        <v>174</v>
      </c>
      <c r="L18" s="9">
        <v>2024</v>
      </c>
      <c r="M18" s="8" t="s">
        <v>135</v>
      </c>
      <c r="N18" s="8" t="s">
        <v>41</v>
      </c>
      <c r="O18" s="8" t="s">
        <v>42</v>
      </c>
      <c r="P18" s="6" t="s">
        <v>43</v>
      </c>
      <c r="Q18" s="8" t="s">
        <v>55</v>
      </c>
      <c r="R18" s="10" t="s">
        <v>136</v>
      </c>
      <c r="S18" s="11" t="s">
        <v>129</v>
      </c>
      <c r="T18" s="6"/>
      <c r="U18" s="28" t="str">
        <f>HYPERLINK("https://media.infra-m.ru/2118/2118171/cover/2118171.jpg", "Обложка")</f>
        <v>Обложка</v>
      </c>
      <c r="V18" s="28" t="str">
        <f>HYPERLINK("https://znanium.ru/catalog/product/2118171", "Ознакомиться")</f>
        <v>Ознакомиться</v>
      </c>
      <c r="W18" s="8" t="s">
        <v>130</v>
      </c>
      <c r="X18" s="6"/>
      <c r="Y18" s="6"/>
      <c r="Z18" s="6" t="s">
        <v>58</v>
      </c>
      <c r="AA18" s="6" t="s">
        <v>137</v>
      </c>
    </row>
    <row r="19" spans="1:27" s="4" customFormat="1" ht="51.95" customHeight="1">
      <c r="A19" s="5">
        <v>0</v>
      </c>
      <c r="B19" s="6" t="s">
        <v>138</v>
      </c>
      <c r="C19" s="7">
        <v>1520</v>
      </c>
      <c r="D19" s="8" t="s">
        <v>139</v>
      </c>
      <c r="E19" s="8" t="s">
        <v>140</v>
      </c>
      <c r="F19" s="8" t="s">
        <v>141</v>
      </c>
      <c r="G19" s="6" t="s">
        <v>52</v>
      </c>
      <c r="H19" s="6" t="s">
        <v>38</v>
      </c>
      <c r="I19" s="8" t="s">
        <v>53</v>
      </c>
      <c r="J19" s="9">
        <v>1</v>
      </c>
      <c r="K19" s="9">
        <v>330</v>
      </c>
      <c r="L19" s="9">
        <v>2024</v>
      </c>
      <c r="M19" s="8" t="s">
        <v>142</v>
      </c>
      <c r="N19" s="8" t="s">
        <v>41</v>
      </c>
      <c r="O19" s="8" t="s">
        <v>42</v>
      </c>
      <c r="P19" s="6" t="s">
        <v>43</v>
      </c>
      <c r="Q19" s="8" t="s">
        <v>55</v>
      </c>
      <c r="R19" s="10" t="s">
        <v>143</v>
      </c>
      <c r="S19" s="11" t="s">
        <v>144</v>
      </c>
      <c r="T19" s="6" t="s">
        <v>145</v>
      </c>
      <c r="U19" s="28" t="str">
        <f>HYPERLINK("https://media.infra-m.ru/2110/2110935/cover/2110935.jpg", "Обложка")</f>
        <v>Обложка</v>
      </c>
      <c r="V19" s="28" t="str">
        <f>HYPERLINK("https://znanium.ru/catalog/product/2110935", "Ознакомиться")</f>
        <v>Ознакомиться</v>
      </c>
      <c r="W19" s="8" t="s">
        <v>146</v>
      </c>
      <c r="X19" s="6"/>
      <c r="Y19" s="6"/>
      <c r="Z19" s="6" t="s">
        <v>58</v>
      </c>
      <c r="AA19" s="6" t="s">
        <v>147</v>
      </c>
    </row>
    <row r="20" spans="1:27" s="4" customFormat="1" ht="42" customHeight="1">
      <c r="A20" s="5">
        <v>0</v>
      </c>
      <c r="B20" s="6" t="s">
        <v>148</v>
      </c>
      <c r="C20" s="7">
        <v>1514</v>
      </c>
      <c r="D20" s="8" t="s">
        <v>149</v>
      </c>
      <c r="E20" s="8" t="s">
        <v>140</v>
      </c>
      <c r="F20" s="8" t="s">
        <v>150</v>
      </c>
      <c r="G20" s="6" t="s">
        <v>37</v>
      </c>
      <c r="H20" s="6" t="s">
        <v>38</v>
      </c>
      <c r="I20" s="8" t="s">
        <v>39</v>
      </c>
      <c r="J20" s="9">
        <v>1</v>
      </c>
      <c r="K20" s="9">
        <v>330</v>
      </c>
      <c r="L20" s="9">
        <v>2024</v>
      </c>
      <c r="M20" s="8" t="s">
        <v>151</v>
      </c>
      <c r="N20" s="8" t="s">
        <v>41</v>
      </c>
      <c r="O20" s="8" t="s">
        <v>42</v>
      </c>
      <c r="P20" s="6" t="s">
        <v>43</v>
      </c>
      <c r="Q20" s="8" t="s">
        <v>44</v>
      </c>
      <c r="R20" s="10" t="s">
        <v>152</v>
      </c>
      <c r="S20" s="11"/>
      <c r="T20" s="6" t="s">
        <v>145</v>
      </c>
      <c r="U20" s="28" t="str">
        <f>HYPERLINK("https://media.infra-m.ru/2125/2125658/cover/2125658.jpg", "Обложка")</f>
        <v>Обложка</v>
      </c>
      <c r="V20" s="28" t="str">
        <f>HYPERLINK("https://znanium.ru/catalog/product/1141772", "Ознакомиться")</f>
        <v>Ознакомиться</v>
      </c>
      <c r="W20" s="8" t="s">
        <v>146</v>
      </c>
      <c r="X20" s="6"/>
      <c r="Y20" s="6"/>
      <c r="Z20" s="6"/>
      <c r="AA20" s="6" t="s">
        <v>153</v>
      </c>
    </row>
    <row r="21" spans="1:27" s="4" customFormat="1" ht="51.95" customHeight="1">
      <c r="A21" s="5">
        <v>0</v>
      </c>
      <c r="B21" s="6" t="s">
        <v>154</v>
      </c>
      <c r="C21" s="7">
        <v>2820</v>
      </c>
      <c r="D21" s="8" t="s">
        <v>155</v>
      </c>
      <c r="E21" s="8" t="s">
        <v>156</v>
      </c>
      <c r="F21" s="8" t="s">
        <v>157</v>
      </c>
      <c r="G21" s="6" t="s">
        <v>37</v>
      </c>
      <c r="H21" s="6" t="s">
        <v>38</v>
      </c>
      <c r="I21" s="8" t="s">
        <v>158</v>
      </c>
      <c r="J21" s="9">
        <v>1</v>
      </c>
      <c r="K21" s="9">
        <v>600</v>
      </c>
      <c r="L21" s="9">
        <v>2024</v>
      </c>
      <c r="M21" s="8" t="s">
        <v>159</v>
      </c>
      <c r="N21" s="8" t="s">
        <v>41</v>
      </c>
      <c r="O21" s="8" t="s">
        <v>42</v>
      </c>
      <c r="P21" s="6" t="s">
        <v>66</v>
      </c>
      <c r="Q21" s="8" t="s">
        <v>55</v>
      </c>
      <c r="R21" s="10" t="s">
        <v>160</v>
      </c>
      <c r="S21" s="11" t="s">
        <v>161</v>
      </c>
      <c r="T21" s="6" t="s">
        <v>145</v>
      </c>
      <c r="U21" s="28" t="str">
        <f>HYPERLINK("https://media.infra-m.ru/2129/2129068/cover/2129068.jpg", "Обложка")</f>
        <v>Обложка</v>
      </c>
      <c r="V21" s="28" t="str">
        <f>HYPERLINK("https://znanium.ru/catalog/product/2129068", "Ознакомиться")</f>
        <v>Ознакомиться</v>
      </c>
      <c r="W21" s="8" t="s">
        <v>162</v>
      </c>
      <c r="X21" s="6"/>
      <c r="Y21" s="6"/>
      <c r="Z21" s="6"/>
      <c r="AA21" s="6" t="s">
        <v>163</v>
      </c>
    </row>
    <row r="22" spans="1:27" s="4" customFormat="1" ht="51.95" customHeight="1">
      <c r="A22" s="5">
        <v>0</v>
      </c>
      <c r="B22" s="6" t="s">
        <v>164</v>
      </c>
      <c r="C22" s="13">
        <v>840</v>
      </c>
      <c r="D22" s="8" t="s">
        <v>165</v>
      </c>
      <c r="E22" s="8" t="s">
        <v>166</v>
      </c>
      <c r="F22" s="8" t="s">
        <v>167</v>
      </c>
      <c r="G22" s="6" t="s">
        <v>117</v>
      </c>
      <c r="H22" s="6" t="s">
        <v>38</v>
      </c>
      <c r="I22" s="8" t="s">
        <v>106</v>
      </c>
      <c r="J22" s="9">
        <v>1</v>
      </c>
      <c r="K22" s="9">
        <v>181</v>
      </c>
      <c r="L22" s="9">
        <v>2023</v>
      </c>
      <c r="M22" s="8" t="s">
        <v>168</v>
      </c>
      <c r="N22" s="8" t="s">
        <v>41</v>
      </c>
      <c r="O22" s="8" t="s">
        <v>42</v>
      </c>
      <c r="P22" s="6" t="s">
        <v>108</v>
      </c>
      <c r="Q22" s="8" t="s">
        <v>109</v>
      </c>
      <c r="R22" s="10" t="s">
        <v>169</v>
      </c>
      <c r="S22" s="11"/>
      <c r="T22" s="6"/>
      <c r="U22" s="28" t="str">
        <f>HYPERLINK("https://media.infra-m.ru/1893/1893921/cover/1893921.jpg", "Обложка")</f>
        <v>Обложка</v>
      </c>
      <c r="V22" s="28" t="str">
        <f>HYPERLINK("https://znanium.ru/catalog/product/1893921", "Ознакомиться")</f>
        <v>Ознакомиться</v>
      </c>
      <c r="W22" s="8" t="s">
        <v>170</v>
      </c>
      <c r="X22" s="6"/>
      <c r="Y22" s="6"/>
      <c r="Z22" s="6"/>
      <c r="AA22" s="6" t="s">
        <v>121</v>
      </c>
    </row>
    <row r="23" spans="1:27" s="4" customFormat="1" ht="51.95" customHeight="1">
      <c r="A23" s="5">
        <v>0</v>
      </c>
      <c r="B23" s="6" t="s">
        <v>171</v>
      </c>
      <c r="C23" s="7">
        <v>1590</v>
      </c>
      <c r="D23" s="8" t="s">
        <v>172</v>
      </c>
      <c r="E23" s="8" t="s">
        <v>173</v>
      </c>
      <c r="F23" s="8" t="s">
        <v>174</v>
      </c>
      <c r="G23" s="6" t="s">
        <v>52</v>
      </c>
      <c r="H23" s="6" t="s">
        <v>38</v>
      </c>
      <c r="I23" s="8" t="s">
        <v>39</v>
      </c>
      <c r="J23" s="9">
        <v>1</v>
      </c>
      <c r="K23" s="9">
        <v>320</v>
      </c>
      <c r="L23" s="9">
        <v>2023</v>
      </c>
      <c r="M23" s="8" t="s">
        <v>175</v>
      </c>
      <c r="N23" s="8" t="s">
        <v>41</v>
      </c>
      <c r="O23" s="8" t="s">
        <v>42</v>
      </c>
      <c r="P23" s="6" t="s">
        <v>66</v>
      </c>
      <c r="Q23" s="8" t="s">
        <v>44</v>
      </c>
      <c r="R23" s="10" t="s">
        <v>176</v>
      </c>
      <c r="S23" s="11" t="s">
        <v>177</v>
      </c>
      <c r="T23" s="6" t="s">
        <v>145</v>
      </c>
      <c r="U23" s="28" t="str">
        <f>HYPERLINK("https://media.infra-m.ru/1899/1899887/cover/1899887.jpg", "Обложка")</f>
        <v>Обложка</v>
      </c>
      <c r="V23" s="28" t="str">
        <f>HYPERLINK("https://znanium.ru/catalog/product/1899887", "Ознакомиться")</f>
        <v>Ознакомиться</v>
      </c>
      <c r="W23" s="8" t="s">
        <v>47</v>
      </c>
      <c r="X23" s="6"/>
      <c r="Y23" s="6"/>
      <c r="Z23" s="6"/>
      <c r="AA23" s="6" t="s">
        <v>163</v>
      </c>
    </row>
    <row r="24" spans="1:27" s="4" customFormat="1" ht="42" customHeight="1">
      <c r="A24" s="5">
        <v>0</v>
      </c>
      <c r="B24" s="6" t="s">
        <v>178</v>
      </c>
      <c r="C24" s="13">
        <v>854</v>
      </c>
      <c r="D24" s="8" t="s">
        <v>179</v>
      </c>
      <c r="E24" s="8" t="s">
        <v>180</v>
      </c>
      <c r="F24" s="8" t="s">
        <v>181</v>
      </c>
      <c r="G24" s="6" t="s">
        <v>37</v>
      </c>
      <c r="H24" s="6" t="s">
        <v>38</v>
      </c>
      <c r="I24" s="8" t="s">
        <v>53</v>
      </c>
      <c r="J24" s="9">
        <v>1</v>
      </c>
      <c r="K24" s="9">
        <v>171</v>
      </c>
      <c r="L24" s="9">
        <v>2023</v>
      </c>
      <c r="M24" s="8" t="s">
        <v>182</v>
      </c>
      <c r="N24" s="8" t="s">
        <v>41</v>
      </c>
      <c r="O24" s="8" t="s">
        <v>42</v>
      </c>
      <c r="P24" s="6" t="s">
        <v>43</v>
      </c>
      <c r="Q24" s="8" t="s">
        <v>55</v>
      </c>
      <c r="R24" s="10" t="s">
        <v>183</v>
      </c>
      <c r="S24" s="11"/>
      <c r="T24" s="6"/>
      <c r="U24" s="28" t="str">
        <f>HYPERLINK("https://media.infra-m.ru/2089/2089314/cover/2089314.jpg", "Обложка")</f>
        <v>Обложка</v>
      </c>
      <c r="V24" s="28" t="str">
        <f>HYPERLINK("https://znanium.ru/catalog/product/1896453", "Ознакомиться")</f>
        <v>Ознакомиться</v>
      </c>
      <c r="W24" s="8" t="s">
        <v>47</v>
      </c>
      <c r="X24" s="6"/>
      <c r="Y24" s="6"/>
      <c r="Z24" s="6"/>
      <c r="AA24" s="6" t="s">
        <v>184</v>
      </c>
    </row>
    <row r="25" spans="1:27" s="4" customFormat="1" ht="51.95" customHeight="1">
      <c r="A25" s="5">
        <v>0</v>
      </c>
      <c r="B25" s="6" t="s">
        <v>185</v>
      </c>
      <c r="C25" s="7">
        <v>1340</v>
      </c>
      <c r="D25" s="8" t="s">
        <v>186</v>
      </c>
      <c r="E25" s="8" t="s">
        <v>187</v>
      </c>
      <c r="F25" s="8" t="s">
        <v>181</v>
      </c>
      <c r="G25" s="6" t="s">
        <v>52</v>
      </c>
      <c r="H25" s="6" t="s">
        <v>38</v>
      </c>
      <c r="I25" s="8" t="s">
        <v>39</v>
      </c>
      <c r="J25" s="9">
        <v>1</v>
      </c>
      <c r="K25" s="9">
        <v>296</v>
      </c>
      <c r="L25" s="9">
        <v>2023</v>
      </c>
      <c r="M25" s="8" t="s">
        <v>188</v>
      </c>
      <c r="N25" s="8" t="s">
        <v>41</v>
      </c>
      <c r="O25" s="8" t="s">
        <v>42</v>
      </c>
      <c r="P25" s="6" t="s">
        <v>66</v>
      </c>
      <c r="Q25" s="8" t="s">
        <v>44</v>
      </c>
      <c r="R25" s="10" t="s">
        <v>189</v>
      </c>
      <c r="S25" s="11" t="s">
        <v>190</v>
      </c>
      <c r="T25" s="6"/>
      <c r="U25" s="28" t="str">
        <f>HYPERLINK("https://media.infra-m.ru/1908/1908808/cover/1908808.jpg", "Обложка")</f>
        <v>Обложка</v>
      </c>
      <c r="V25" s="28" t="str">
        <f>HYPERLINK("https://znanium.ru/catalog/product/1908808", "Ознакомиться")</f>
        <v>Ознакомиться</v>
      </c>
      <c r="W25" s="8" t="s">
        <v>47</v>
      </c>
      <c r="X25" s="6"/>
      <c r="Y25" s="6"/>
      <c r="Z25" s="6"/>
      <c r="AA25" s="6" t="s">
        <v>163</v>
      </c>
    </row>
    <row r="26" spans="1:27" s="4" customFormat="1" ht="51.95" customHeight="1">
      <c r="A26" s="5">
        <v>0</v>
      </c>
      <c r="B26" s="6" t="s">
        <v>191</v>
      </c>
      <c r="C26" s="13">
        <v>604.9</v>
      </c>
      <c r="D26" s="8" t="s">
        <v>192</v>
      </c>
      <c r="E26" s="8" t="s">
        <v>193</v>
      </c>
      <c r="F26" s="8" t="s">
        <v>194</v>
      </c>
      <c r="G26" s="6" t="s">
        <v>37</v>
      </c>
      <c r="H26" s="6" t="s">
        <v>38</v>
      </c>
      <c r="I26" s="8" t="s">
        <v>39</v>
      </c>
      <c r="J26" s="9">
        <v>1</v>
      </c>
      <c r="K26" s="9">
        <v>160</v>
      </c>
      <c r="L26" s="9">
        <v>2022</v>
      </c>
      <c r="M26" s="8" t="s">
        <v>195</v>
      </c>
      <c r="N26" s="8" t="s">
        <v>41</v>
      </c>
      <c r="O26" s="8" t="s">
        <v>42</v>
      </c>
      <c r="P26" s="6" t="s">
        <v>43</v>
      </c>
      <c r="Q26" s="8" t="s">
        <v>44</v>
      </c>
      <c r="R26" s="10" t="s">
        <v>196</v>
      </c>
      <c r="S26" s="11" t="s">
        <v>197</v>
      </c>
      <c r="T26" s="6"/>
      <c r="U26" s="28" t="str">
        <f>HYPERLINK("https://media.infra-m.ru/1809/1809917/cover/1809917.jpg", "Обложка")</f>
        <v>Обложка</v>
      </c>
      <c r="V26" s="28" t="str">
        <f>HYPERLINK("https://znanium.ru/catalog/product/1210541", "Ознакомиться")</f>
        <v>Ознакомиться</v>
      </c>
      <c r="W26" s="8" t="s">
        <v>47</v>
      </c>
      <c r="X26" s="6"/>
      <c r="Y26" s="6"/>
      <c r="Z26" s="6"/>
      <c r="AA26" s="6" t="s">
        <v>198</v>
      </c>
    </row>
    <row r="27" spans="1:27" s="4" customFormat="1" ht="51.95" customHeight="1">
      <c r="A27" s="5">
        <v>0</v>
      </c>
      <c r="B27" s="6" t="s">
        <v>199</v>
      </c>
      <c r="C27" s="13">
        <v>760</v>
      </c>
      <c r="D27" s="8" t="s">
        <v>200</v>
      </c>
      <c r="E27" s="8" t="s">
        <v>201</v>
      </c>
      <c r="F27" s="8" t="s">
        <v>181</v>
      </c>
      <c r="G27" s="6" t="s">
        <v>117</v>
      </c>
      <c r="H27" s="6" t="s">
        <v>38</v>
      </c>
      <c r="I27" s="8" t="s">
        <v>39</v>
      </c>
      <c r="J27" s="9">
        <v>1</v>
      </c>
      <c r="K27" s="9">
        <v>164</v>
      </c>
      <c r="L27" s="9">
        <v>2023</v>
      </c>
      <c r="M27" s="8" t="s">
        <v>202</v>
      </c>
      <c r="N27" s="8" t="s">
        <v>41</v>
      </c>
      <c r="O27" s="8" t="s">
        <v>42</v>
      </c>
      <c r="P27" s="6" t="s">
        <v>66</v>
      </c>
      <c r="Q27" s="8" t="s">
        <v>44</v>
      </c>
      <c r="R27" s="10" t="s">
        <v>203</v>
      </c>
      <c r="S27" s="11" t="s">
        <v>204</v>
      </c>
      <c r="T27" s="6"/>
      <c r="U27" s="28" t="str">
        <f>HYPERLINK("https://media.infra-m.ru/2126/2126774/cover/2126774.jpg", "Обложка")</f>
        <v>Обложка</v>
      </c>
      <c r="V27" s="28" t="str">
        <f>HYPERLINK("https://znanium.ru/catalog/product/2126774", "Ознакомиться")</f>
        <v>Ознакомиться</v>
      </c>
      <c r="W27" s="8" t="s">
        <v>47</v>
      </c>
      <c r="X27" s="6"/>
      <c r="Y27" s="6"/>
      <c r="Z27" s="6"/>
      <c r="AA27" s="6" t="s">
        <v>205</v>
      </c>
    </row>
    <row r="28" spans="1:27" s="4" customFormat="1" ht="51.95" customHeight="1">
      <c r="A28" s="5">
        <v>0</v>
      </c>
      <c r="B28" s="6" t="s">
        <v>206</v>
      </c>
      <c r="C28" s="13">
        <v>610</v>
      </c>
      <c r="D28" s="8" t="s">
        <v>207</v>
      </c>
      <c r="E28" s="8" t="s">
        <v>201</v>
      </c>
      <c r="F28" s="8" t="s">
        <v>181</v>
      </c>
      <c r="G28" s="6" t="s">
        <v>37</v>
      </c>
      <c r="H28" s="6" t="s">
        <v>38</v>
      </c>
      <c r="I28" s="8" t="s">
        <v>53</v>
      </c>
      <c r="J28" s="9">
        <v>1</v>
      </c>
      <c r="K28" s="9">
        <v>164</v>
      </c>
      <c r="L28" s="9">
        <v>2021</v>
      </c>
      <c r="M28" s="8" t="s">
        <v>208</v>
      </c>
      <c r="N28" s="8" t="s">
        <v>41</v>
      </c>
      <c r="O28" s="8" t="s">
        <v>42</v>
      </c>
      <c r="P28" s="6" t="s">
        <v>66</v>
      </c>
      <c r="Q28" s="8" t="s">
        <v>55</v>
      </c>
      <c r="R28" s="10" t="s">
        <v>209</v>
      </c>
      <c r="S28" s="11" t="s">
        <v>210</v>
      </c>
      <c r="T28" s="6"/>
      <c r="U28" s="28" t="str">
        <f>HYPERLINK("https://media.infra-m.ru/1406/1406643/cover/1406643.jpg", "Обложка")</f>
        <v>Обложка</v>
      </c>
      <c r="V28" s="28" t="str">
        <f>HYPERLINK("https://znanium.ru/catalog/product/1406643", "Ознакомиться")</f>
        <v>Ознакомиться</v>
      </c>
      <c r="W28" s="8" t="s">
        <v>47</v>
      </c>
      <c r="X28" s="6"/>
      <c r="Y28" s="6"/>
      <c r="Z28" s="6" t="s">
        <v>58</v>
      </c>
      <c r="AA28" s="6" t="s">
        <v>137</v>
      </c>
    </row>
    <row r="29" spans="1:27" s="4" customFormat="1" ht="44.1" customHeight="1">
      <c r="A29" s="5">
        <v>0</v>
      </c>
      <c r="B29" s="6" t="s">
        <v>211</v>
      </c>
      <c r="C29" s="13">
        <v>860</v>
      </c>
      <c r="D29" s="8" t="s">
        <v>212</v>
      </c>
      <c r="E29" s="8" t="s">
        <v>213</v>
      </c>
      <c r="F29" s="8" t="s">
        <v>214</v>
      </c>
      <c r="G29" s="6" t="s">
        <v>117</v>
      </c>
      <c r="H29" s="6" t="s">
        <v>38</v>
      </c>
      <c r="I29" s="8" t="s">
        <v>106</v>
      </c>
      <c r="J29" s="9">
        <v>4</v>
      </c>
      <c r="K29" s="9">
        <v>252</v>
      </c>
      <c r="L29" s="9">
        <v>2020</v>
      </c>
      <c r="M29" s="8" t="s">
        <v>215</v>
      </c>
      <c r="N29" s="8" t="s">
        <v>41</v>
      </c>
      <c r="O29" s="8" t="s">
        <v>42</v>
      </c>
      <c r="P29" s="6" t="s">
        <v>108</v>
      </c>
      <c r="Q29" s="8" t="s">
        <v>109</v>
      </c>
      <c r="R29" s="10" t="s">
        <v>216</v>
      </c>
      <c r="S29" s="11"/>
      <c r="T29" s="6"/>
      <c r="U29" s="28" t="str">
        <f>HYPERLINK("https://media.infra-m.ru/1003/1003242/cover/1003242.jpg", "Обложка")</f>
        <v>Обложка</v>
      </c>
      <c r="V29" s="28" t="str">
        <f>HYPERLINK("https://znanium.ru/catalog/product/1003242", "Ознакомиться")</f>
        <v>Ознакомиться</v>
      </c>
      <c r="W29" s="8" t="s">
        <v>47</v>
      </c>
      <c r="X29" s="6"/>
      <c r="Y29" s="6"/>
      <c r="Z29" s="6"/>
      <c r="AA29" s="6" t="s">
        <v>121</v>
      </c>
    </row>
    <row r="30" spans="1:27" s="4" customFormat="1" ht="44.1" customHeight="1">
      <c r="A30" s="5">
        <v>0</v>
      </c>
      <c r="B30" s="6" t="s">
        <v>217</v>
      </c>
      <c r="C30" s="13">
        <v>774.9</v>
      </c>
      <c r="D30" s="8" t="s">
        <v>218</v>
      </c>
      <c r="E30" s="8" t="s">
        <v>219</v>
      </c>
      <c r="F30" s="8" t="s">
        <v>214</v>
      </c>
      <c r="G30" s="6" t="s">
        <v>117</v>
      </c>
      <c r="H30" s="6" t="s">
        <v>38</v>
      </c>
      <c r="I30" s="8" t="s">
        <v>106</v>
      </c>
      <c r="J30" s="9">
        <v>4</v>
      </c>
      <c r="K30" s="9">
        <v>251</v>
      </c>
      <c r="L30" s="9">
        <v>2017</v>
      </c>
      <c r="M30" s="8" t="s">
        <v>215</v>
      </c>
      <c r="N30" s="8" t="s">
        <v>41</v>
      </c>
      <c r="O30" s="8" t="s">
        <v>42</v>
      </c>
      <c r="P30" s="6" t="s">
        <v>108</v>
      </c>
      <c r="Q30" s="8" t="s">
        <v>109</v>
      </c>
      <c r="R30" s="10" t="s">
        <v>216</v>
      </c>
      <c r="S30" s="11"/>
      <c r="T30" s="6"/>
      <c r="U30" s="28" t="str">
        <f>HYPERLINK("https://media.infra-m.ru/0560/0560198/cover/560198.jpg", "Обложка")</f>
        <v>Обложка</v>
      </c>
      <c r="V30" s="28" t="str">
        <f>HYPERLINK("https://znanium.ru/catalog/product/1003242", "Ознакомиться")</f>
        <v>Ознакомиться</v>
      </c>
      <c r="W30" s="8" t="s">
        <v>47</v>
      </c>
      <c r="X30" s="6"/>
      <c r="Y30" s="6"/>
      <c r="Z30" s="6"/>
      <c r="AA30" s="6" t="s">
        <v>153</v>
      </c>
    </row>
    <row r="31" spans="1:27" s="4" customFormat="1" ht="51.95" customHeight="1">
      <c r="A31" s="5">
        <v>0</v>
      </c>
      <c r="B31" s="6" t="s">
        <v>220</v>
      </c>
      <c r="C31" s="13">
        <v>724</v>
      </c>
      <c r="D31" s="8" t="s">
        <v>221</v>
      </c>
      <c r="E31" s="8" t="s">
        <v>222</v>
      </c>
      <c r="F31" s="8" t="s">
        <v>223</v>
      </c>
      <c r="G31" s="6" t="s">
        <v>37</v>
      </c>
      <c r="H31" s="6" t="s">
        <v>38</v>
      </c>
      <c r="I31" s="8" t="s">
        <v>53</v>
      </c>
      <c r="J31" s="9">
        <v>1</v>
      </c>
      <c r="K31" s="9">
        <v>155</v>
      </c>
      <c r="L31" s="9">
        <v>2024</v>
      </c>
      <c r="M31" s="8" t="s">
        <v>224</v>
      </c>
      <c r="N31" s="8" t="s">
        <v>41</v>
      </c>
      <c r="O31" s="8" t="s">
        <v>42</v>
      </c>
      <c r="P31" s="6" t="s">
        <v>43</v>
      </c>
      <c r="Q31" s="8" t="s">
        <v>55</v>
      </c>
      <c r="R31" s="10" t="s">
        <v>225</v>
      </c>
      <c r="S31" s="11" t="s">
        <v>226</v>
      </c>
      <c r="T31" s="6"/>
      <c r="U31" s="28" t="str">
        <f>HYPERLINK("https://media.infra-m.ru/2144/2144235/cover/2144235.jpg", "Обложка")</f>
        <v>Обложка</v>
      </c>
      <c r="V31" s="28" t="str">
        <f>HYPERLINK("https://znanium.ru/catalog/product/1138875", "Ознакомиться")</f>
        <v>Ознакомиться</v>
      </c>
      <c r="W31" s="8" t="s">
        <v>227</v>
      </c>
      <c r="X31" s="6"/>
      <c r="Y31" s="6"/>
      <c r="Z31" s="6" t="s">
        <v>58</v>
      </c>
      <c r="AA31" s="6" t="s">
        <v>112</v>
      </c>
    </row>
    <row r="32" spans="1:27" s="4" customFormat="1" ht="51.95" customHeight="1">
      <c r="A32" s="5">
        <v>0</v>
      </c>
      <c r="B32" s="6" t="s">
        <v>228</v>
      </c>
      <c r="C32" s="13">
        <v>640</v>
      </c>
      <c r="D32" s="8" t="s">
        <v>229</v>
      </c>
      <c r="E32" s="8" t="s">
        <v>230</v>
      </c>
      <c r="F32" s="8" t="s">
        <v>231</v>
      </c>
      <c r="G32" s="6" t="s">
        <v>117</v>
      </c>
      <c r="H32" s="6" t="s">
        <v>38</v>
      </c>
      <c r="I32" s="8" t="s">
        <v>64</v>
      </c>
      <c r="J32" s="9">
        <v>1</v>
      </c>
      <c r="K32" s="9">
        <v>124</v>
      </c>
      <c r="L32" s="9">
        <v>2024</v>
      </c>
      <c r="M32" s="8" t="s">
        <v>232</v>
      </c>
      <c r="N32" s="8" t="s">
        <v>41</v>
      </c>
      <c r="O32" s="8" t="s">
        <v>42</v>
      </c>
      <c r="P32" s="6" t="s">
        <v>43</v>
      </c>
      <c r="Q32" s="8" t="s">
        <v>233</v>
      </c>
      <c r="R32" s="10" t="s">
        <v>234</v>
      </c>
      <c r="S32" s="11" t="s">
        <v>235</v>
      </c>
      <c r="T32" s="6"/>
      <c r="U32" s="28" t="str">
        <f>HYPERLINK("https://media.infra-m.ru/2087/2087318/cover/2087318.jpg", "Обложка")</f>
        <v>Обложка</v>
      </c>
      <c r="V32" s="28" t="str">
        <f>HYPERLINK("https://znanium.ru/catalog/product/2087318", "Ознакомиться")</f>
        <v>Ознакомиться</v>
      </c>
      <c r="W32" s="8" t="s">
        <v>227</v>
      </c>
      <c r="X32" s="6"/>
      <c r="Y32" s="6"/>
      <c r="Z32" s="6"/>
      <c r="AA32" s="6" t="s">
        <v>163</v>
      </c>
    </row>
    <row r="33" spans="1:27" s="4" customFormat="1" ht="51.95" customHeight="1">
      <c r="A33" s="5">
        <v>0</v>
      </c>
      <c r="B33" s="6" t="s">
        <v>236</v>
      </c>
      <c r="C33" s="7">
        <v>2130</v>
      </c>
      <c r="D33" s="8" t="s">
        <v>237</v>
      </c>
      <c r="E33" s="8" t="s">
        <v>238</v>
      </c>
      <c r="F33" s="8" t="s">
        <v>223</v>
      </c>
      <c r="G33" s="6" t="s">
        <v>37</v>
      </c>
      <c r="H33" s="6" t="s">
        <v>38</v>
      </c>
      <c r="I33" s="8" t="s">
        <v>53</v>
      </c>
      <c r="J33" s="9">
        <v>1</v>
      </c>
      <c r="K33" s="9">
        <v>454</v>
      </c>
      <c r="L33" s="9">
        <v>2024</v>
      </c>
      <c r="M33" s="8" t="s">
        <v>239</v>
      </c>
      <c r="N33" s="8" t="s">
        <v>41</v>
      </c>
      <c r="O33" s="8" t="s">
        <v>42</v>
      </c>
      <c r="P33" s="6" t="s">
        <v>66</v>
      </c>
      <c r="Q33" s="8" t="s">
        <v>55</v>
      </c>
      <c r="R33" s="10" t="s">
        <v>240</v>
      </c>
      <c r="S33" s="11" t="s">
        <v>241</v>
      </c>
      <c r="T33" s="6"/>
      <c r="U33" s="28" t="str">
        <f>HYPERLINK("https://media.infra-m.ru/2139/2139075/cover/2139075.jpg", "Обложка")</f>
        <v>Обложка</v>
      </c>
      <c r="V33" s="28" t="str">
        <f>HYPERLINK("https://znanium.ru/catalog/product/2139075", "Ознакомиться")</f>
        <v>Ознакомиться</v>
      </c>
      <c r="W33" s="8" t="s">
        <v>227</v>
      </c>
      <c r="X33" s="6"/>
      <c r="Y33" s="6"/>
      <c r="Z33" s="6" t="s">
        <v>58</v>
      </c>
      <c r="AA33" s="6" t="s">
        <v>112</v>
      </c>
    </row>
    <row r="34" spans="1:27" s="4" customFormat="1" ht="51.95" customHeight="1">
      <c r="A34" s="5">
        <v>0</v>
      </c>
      <c r="B34" s="6" t="s">
        <v>242</v>
      </c>
      <c r="C34" s="13">
        <v>720</v>
      </c>
      <c r="D34" s="8" t="s">
        <v>243</v>
      </c>
      <c r="E34" s="8" t="s">
        <v>222</v>
      </c>
      <c r="F34" s="8" t="s">
        <v>223</v>
      </c>
      <c r="G34" s="6" t="s">
        <v>117</v>
      </c>
      <c r="H34" s="6" t="s">
        <v>38</v>
      </c>
      <c r="I34" s="8" t="s">
        <v>39</v>
      </c>
      <c r="J34" s="9">
        <v>1</v>
      </c>
      <c r="K34" s="9">
        <v>155</v>
      </c>
      <c r="L34" s="9">
        <v>2024</v>
      </c>
      <c r="M34" s="8" t="s">
        <v>244</v>
      </c>
      <c r="N34" s="8" t="s">
        <v>41</v>
      </c>
      <c r="O34" s="8" t="s">
        <v>42</v>
      </c>
      <c r="P34" s="6" t="s">
        <v>43</v>
      </c>
      <c r="Q34" s="8" t="s">
        <v>44</v>
      </c>
      <c r="R34" s="10" t="s">
        <v>152</v>
      </c>
      <c r="S34" s="11" t="s">
        <v>245</v>
      </c>
      <c r="T34" s="6"/>
      <c r="U34" s="28" t="str">
        <f>HYPERLINK("https://media.infra-m.ru/2127/2127025/cover/2127025.jpg", "Обложка")</f>
        <v>Обложка</v>
      </c>
      <c r="V34" s="28" t="str">
        <f>HYPERLINK("https://znanium.ru/catalog/product/2127025", "Ознакомиться")</f>
        <v>Ознакомиться</v>
      </c>
      <c r="W34" s="8" t="s">
        <v>227</v>
      </c>
      <c r="X34" s="6"/>
      <c r="Y34" s="6"/>
      <c r="Z34" s="6"/>
      <c r="AA34" s="6" t="s">
        <v>96</v>
      </c>
    </row>
    <row r="35" spans="1:27" s="4" customFormat="1" ht="51.95" customHeight="1">
      <c r="A35" s="5">
        <v>0</v>
      </c>
      <c r="B35" s="6" t="s">
        <v>246</v>
      </c>
      <c r="C35" s="7">
        <v>1724.9</v>
      </c>
      <c r="D35" s="8" t="s">
        <v>247</v>
      </c>
      <c r="E35" s="8" t="s">
        <v>238</v>
      </c>
      <c r="F35" s="8" t="s">
        <v>223</v>
      </c>
      <c r="G35" s="6" t="s">
        <v>37</v>
      </c>
      <c r="H35" s="6" t="s">
        <v>38</v>
      </c>
      <c r="I35" s="8" t="s">
        <v>39</v>
      </c>
      <c r="J35" s="9">
        <v>1</v>
      </c>
      <c r="K35" s="9">
        <v>454</v>
      </c>
      <c r="L35" s="9">
        <v>2022</v>
      </c>
      <c r="M35" s="8" t="s">
        <v>248</v>
      </c>
      <c r="N35" s="8" t="s">
        <v>41</v>
      </c>
      <c r="O35" s="8" t="s">
        <v>42</v>
      </c>
      <c r="P35" s="6" t="s">
        <v>66</v>
      </c>
      <c r="Q35" s="8" t="s">
        <v>44</v>
      </c>
      <c r="R35" s="10" t="s">
        <v>249</v>
      </c>
      <c r="S35" s="11" t="s">
        <v>250</v>
      </c>
      <c r="T35" s="6"/>
      <c r="U35" s="28" t="str">
        <f>HYPERLINK("https://media.infra-m.ru/1841/1841084/cover/1841084.jpg", "Обложка")</f>
        <v>Обложка</v>
      </c>
      <c r="V35" s="28" t="str">
        <f>HYPERLINK("https://znanium.ru/catalog/product/1841084", "Ознакомиться")</f>
        <v>Ознакомиться</v>
      </c>
      <c r="W35" s="8" t="s">
        <v>227</v>
      </c>
      <c r="X35" s="6"/>
      <c r="Y35" s="6"/>
      <c r="Z35" s="6"/>
      <c r="AA35" s="6" t="s">
        <v>163</v>
      </c>
    </row>
    <row r="36" spans="1:27" s="4" customFormat="1" ht="51.95" customHeight="1">
      <c r="A36" s="5">
        <v>0</v>
      </c>
      <c r="B36" s="6" t="s">
        <v>251</v>
      </c>
      <c r="C36" s="13">
        <v>870</v>
      </c>
      <c r="D36" s="8" t="s">
        <v>252</v>
      </c>
      <c r="E36" s="8" t="s">
        <v>253</v>
      </c>
      <c r="F36" s="8" t="s">
        <v>254</v>
      </c>
      <c r="G36" s="6" t="s">
        <v>52</v>
      </c>
      <c r="H36" s="6" t="s">
        <v>255</v>
      </c>
      <c r="I36" s="8" t="s">
        <v>64</v>
      </c>
      <c r="J36" s="9">
        <v>1</v>
      </c>
      <c r="K36" s="9">
        <v>184</v>
      </c>
      <c r="L36" s="9">
        <v>2024</v>
      </c>
      <c r="M36" s="8" t="s">
        <v>256</v>
      </c>
      <c r="N36" s="8" t="s">
        <v>41</v>
      </c>
      <c r="O36" s="8" t="s">
        <v>42</v>
      </c>
      <c r="P36" s="6" t="s">
        <v>43</v>
      </c>
      <c r="Q36" s="8" t="s">
        <v>44</v>
      </c>
      <c r="R36" s="10" t="s">
        <v>152</v>
      </c>
      <c r="S36" s="11" t="s">
        <v>257</v>
      </c>
      <c r="T36" s="6"/>
      <c r="U36" s="28" t="str">
        <f>HYPERLINK("https://media.infra-m.ru/2149/2149733/cover/2149733.jpg", "Обложка")</f>
        <v>Обложка</v>
      </c>
      <c r="V36" s="28" t="str">
        <f>HYPERLINK("https://znanium.ru/catalog/product/1000594", "Ознакомиться")</f>
        <v>Ознакомиться</v>
      </c>
      <c r="W36" s="8" t="s">
        <v>258</v>
      </c>
      <c r="X36" s="6"/>
      <c r="Y36" s="6"/>
      <c r="Z36" s="6"/>
      <c r="AA36" s="6" t="s">
        <v>163</v>
      </c>
    </row>
    <row r="37" spans="1:27" s="4" customFormat="1" ht="51.95" customHeight="1">
      <c r="A37" s="5">
        <v>0</v>
      </c>
      <c r="B37" s="6" t="s">
        <v>259</v>
      </c>
      <c r="C37" s="13">
        <v>990</v>
      </c>
      <c r="D37" s="8" t="s">
        <v>260</v>
      </c>
      <c r="E37" s="8" t="s">
        <v>261</v>
      </c>
      <c r="F37" s="8" t="s">
        <v>105</v>
      </c>
      <c r="G37" s="6" t="s">
        <v>52</v>
      </c>
      <c r="H37" s="6" t="s">
        <v>38</v>
      </c>
      <c r="I37" s="8" t="s">
        <v>262</v>
      </c>
      <c r="J37" s="9">
        <v>1</v>
      </c>
      <c r="K37" s="9">
        <v>214</v>
      </c>
      <c r="L37" s="9">
        <v>2024</v>
      </c>
      <c r="M37" s="8" t="s">
        <v>263</v>
      </c>
      <c r="N37" s="8" t="s">
        <v>41</v>
      </c>
      <c r="O37" s="8" t="s">
        <v>42</v>
      </c>
      <c r="P37" s="6" t="s">
        <v>66</v>
      </c>
      <c r="Q37" s="8" t="s">
        <v>264</v>
      </c>
      <c r="R37" s="10" t="s">
        <v>265</v>
      </c>
      <c r="S37" s="11" t="s">
        <v>266</v>
      </c>
      <c r="T37" s="6" t="s">
        <v>145</v>
      </c>
      <c r="U37" s="28" t="str">
        <f>HYPERLINK("https://media.infra-m.ru/2059/2059565/cover/2059565.jpg", "Обложка")</f>
        <v>Обложка</v>
      </c>
      <c r="V37" s="28" t="str">
        <f>HYPERLINK("https://znanium.ru/catalog/product/2059565", "Ознакомиться")</f>
        <v>Ознакомиться</v>
      </c>
      <c r="W37" s="8" t="s">
        <v>111</v>
      </c>
      <c r="X37" s="6"/>
      <c r="Y37" s="6"/>
      <c r="Z37" s="6"/>
      <c r="AA37" s="6" t="s">
        <v>163</v>
      </c>
    </row>
    <row r="38" spans="1:27" s="4" customFormat="1" ht="51.95" customHeight="1">
      <c r="A38" s="5">
        <v>0</v>
      </c>
      <c r="B38" s="6" t="s">
        <v>267</v>
      </c>
      <c r="C38" s="13">
        <v>870</v>
      </c>
      <c r="D38" s="8" t="s">
        <v>268</v>
      </c>
      <c r="E38" s="8" t="s">
        <v>269</v>
      </c>
      <c r="F38" s="8" t="s">
        <v>270</v>
      </c>
      <c r="G38" s="6" t="s">
        <v>52</v>
      </c>
      <c r="H38" s="6" t="s">
        <v>38</v>
      </c>
      <c r="I38" s="8" t="s">
        <v>271</v>
      </c>
      <c r="J38" s="9">
        <v>1</v>
      </c>
      <c r="K38" s="9">
        <v>183</v>
      </c>
      <c r="L38" s="9">
        <v>2024</v>
      </c>
      <c r="M38" s="8" t="s">
        <v>272</v>
      </c>
      <c r="N38" s="8" t="s">
        <v>41</v>
      </c>
      <c r="O38" s="8" t="s">
        <v>42</v>
      </c>
      <c r="P38" s="6" t="s">
        <v>66</v>
      </c>
      <c r="Q38" s="8" t="s">
        <v>233</v>
      </c>
      <c r="R38" s="10" t="s">
        <v>273</v>
      </c>
      <c r="S38" s="11" t="s">
        <v>274</v>
      </c>
      <c r="T38" s="6"/>
      <c r="U38" s="28" t="str">
        <f>HYPERLINK("https://media.infra-m.ru/2129/2129093/cover/2129093.jpg", "Обложка")</f>
        <v>Обложка</v>
      </c>
      <c r="V38" s="28" t="str">
        <f>HYPERLINK("https://znanium.ru/catalog/product/2129093", "Ознакомиться")</f>
        <v>Ознакомиться</v>
      </c>
      <c r="W38" s="8" t="s">
        <v>111</v>
      </c>
      <c r="X38" s="6"/>
      <c r="Y38" s="6"/>
      <c r="Z38" s="6"/>
      <c r="AA38" s="6" t="s">
        <v>163</v>
      </c>
    </row>
    <row r="39" spans="1:27" s="4" customFormat="1" ht="51.95" customHeight="1">
      <c r="A39" s="5">
        <v>0</v>
      </c>
      <c r="B39" s="6" t="s">
        <v>275</v>
      </c>
      <c r="C39" s="7">
        <v>2074</v>
      </c>
      <c r="D39" s="8" t="s">
        <v>276</v>
      </c>
      <c r="E39" s="8" t="s">
        <v>277</v>
      </c>
      <c r="F39" s="8" t="s">
        <v>278</v>
      </c>
      <c r="G39" s="6" t="s">
        <v>37</v>
      </c>
      <c r="H39" s="6" t="s">
        <v>38</v>
      </c>
      <c r="I39" s="8" t="s">
        <v>53</v>
      </c>
      <c r="J39" s="9">
        <v>1</v>
      </c>
      <c r="K39" s="9">
        <v>451</v>
      </c>
      <c r="L39" s="9">
        <v>2024</v>
      </c>
      <c r="M39" s="8" t="s">
        <v>279</v>
      </c>
      <c r="N39" s="8" t="s">
        <v>41</v>
      </c>
      <c r="O39" s="8" t="s">
        <v>42</v>
      </c>
      <c r="P39" s="6" t="s">
        <v>66</v>
      </c>
      <c r="Q39" s="8" t="s">
        <v>55</v>
      </c>
      <c r="R39" s="10" t="s">
        <v>160</v>
      </c>
      <c r="S39" s="11" t="s">
        <v>280</v>
      </c>
      <c r="T39" s="6"/>
      <c r="U39" s="28" t="str">
        <f>HYPERLINK("https://media.infra-m.ru/2096/2096830/cover/2096830.jpg", "Обложка")</f>
        <v>Обложка</v>
      </c>
      <c r="V39" s="28" t="str">
        <f>HYPERLINK("https://znanium.ru/catalog/product/1873261", "Ознакомиться")</f>
        <v>Ознакомиться</v>
      </c>
      <c r="W39" s="8" t="s">
        <v>146</v>
      </c>
      <c r="X39" s="6"/>
      <c r="Y39" s="6"/>
      <c r="Z39" s="6" t="s">
        <v>58</v>
      </c>
      <c r="AA39" s="6" t="s">
        <v>281</v>
      </c>
    </row>
    <row r="40" spans="1:27" s="4" customFormat="1" ht="51.95" customHeight="1">
      <c r="A40" s="5">
        <v>0</v>
      </c>
      <c r="B40" s="6" t="s">
        <v>282</v>
      </c>
      <c r="C40" s="7">
        <v>2080</v>
      </c>
      <c r="D40" s="8" t="s">
        <v>283</v>
      </c>
      <c r="E40" s="8" t="s">
        <v>277</v>
      </c>
      <c r="F40" s="8" t="s">
        <v>278</v>
      </c>
      <c r="G40" s="6" t="s">
        <v>37</v>
      </c>
      <c r="H40" s="6" t="s">
        <v>38</v>
      </c>
      <c r="I40" s="8" t="s">
        <v>64</v>
      </c>
      <c r="J40" s="9">
        <v>1</v>
      </c>
      <c r="K40" s="9">
        <v>451</v>
      </c>
      <c r="L40" s="9">
        <v>2024</v>
      </c>
      <c r="M40" s="8" t="s">
        <v>284</v>
      </c>
      <c r="N40" s="8" t="s">
        <v>41</v>
      </c>
      <c r="O40" s="8" t="s">
        <v>42</v>
      </c>
      <c r="P40" s="6" t="s">
        <v>66</v>
      </c>
      <c r="Q40" s="8" t="s">
        <v>44</v>
      </c>
      <c r="R40" s="10" t="s">
        <v>285</v>
      </c>
      <c r="S40" s="11" t="s">
        <v>286</v>
      </c>
      <c r="T40" s="6" t="s">
        <v>145</v>
      </c>
      <c r="U40" s="28" t="str">
        <f>HYPERLINK("https://media.infra-m.ru/2094/2094473/cover/2094473.jpg", "Обложка")</f>
        <v>Обложка</v>
      </c>
      <c r="V40" s="28" t="str">
        <f>HYPERLINK("https://znanium.ru/catalog/product/2094473", "Ознакомиться")</f>
        <v>Ознакомиться</v>
      </c>
      <c r="W40" s="8" t="s">
        <v>146</v>
      </c>
      <c r="X40" s="6"/>
      <c r="Y40" s="6"/>
      <c r="Z40" s="6"/>
      <c r="AA40" s="6" t="s">
        <v>287</v>
      </c>
    </row>
    <row r="41" spans="1:27" s="4" customFormat="1" ht="42" customHeight="1">
      <c r="A41" s="5">
        <v>0</v>
      </c>
      <c r="B41" s="6" t="s">
        <v>288</v>
      </c>
      <c r="C41" s="13">
        <v>954</v>
      </c>
      <c r="D41" s="8" t="s">
        <v>289</v>
      </c>
      <c r="E41" s="8" t="s">
        <v>290</v>
      </c>
      <c r="F41" s="8" t="s">
        <v>291</v>
      </c>
      <c r="G41" s="6" t="s">
        <v>37</v>
      </c>
      <c r="H41" s="6" t="s">
        <v>38</v>
      </c>
      <c r="I41" s="8" t="s">
        <v>262</v>
      </c>
      <c r="J41" s="9">
        <v>1</v>
      </c>
      <c r="K41" s="9">
        <v>208</v>
      </c>
      <c r="L41" s="9">
        <v>2023</v>
      </c>
      <c r="M41" s="8" t="s">
        <v>292</v>
      </c>
      <c r="N41" s="8" t="s">
        <v>41</v>
      </c>
      <c r="O41" s="8" t="s">
        <v>42</v>
      </c>
      <c r="P41" s="6" t="s">
        <v>43</v>
      </c>
      <c r="Q41" s="8" t="s">
        <v>264</v>
      </c>
      <c r="R41" s="10" t="s">
        <v>293</v>
      </c>
      <c r="S41" s="11"/>
      <c r="T41" s="6"/>
      <c r="U41" s="28" t="str">
        <f>HYPERLINK("https://media.infra-m.ru/1981/1981683/cover/1981683.jpg", "Обложка")</f>
        <v>Обложка</v>
      </c>
      <c r="V41" s="28" t="str">
        <f>HYPERLINK("https://znanium.ru/catalog/product/1178805", "Ознакомиться")</f>
        <v>Ознакомиться</v>
      </c>
      <c r="W41" s="8" t="s">
        <v>294</v>
      </c>
      <c r="X41" s="6"/>
      <c r="Y41" s="6"/>
      <c r="Z41" s="6"/>
      <c r="AA41" s="6" t="s">
        <v>48</v>
      </c>
    </row>
    <row r="42" spans="1:27" s="4" customFormat="1" ht="51.95" customHeight="1">
      <c r="A42" s="5">
        <v>0</v>
      </c>
      <c r="B42" s="6" t="s">
        <v>295</v>
      </c>
      <c r="C42" s="7">
        <v>1690</v>
      </c>
      <c r="D42" s="8" t="s">
        <v>296</v>
      </c>
      <c r="E42" s="8" t="s">
        <v>297</v>
      </c>
      <c r="F42" s="8" t="s">
        <v>298</v>
      </c>
      <c r="G42" s="6" t="s">
        <v>52</v>
      </c>
      <c r="H42" s="6" t="s">
        <v>38</v>
      </c>
      <c r="I42" s="8" t="s">
        <v>299</v>
      </c>
      <c r="J42" s="9">
        <v>1</v>
      </c>
      <c r="K42" s="9">
        <v>366</v>
      </c>
      <c r="L42" s="9">
        <v>2023</v>
      </c>
      <c r="M42" s="8" t="s">
        <v>300</v>
      </c>
      <c r="N42" s="8" t="s">
        <v>41</v>
      </c>
      <c r="O42" s="8" t="s">
        <v>42</v>
      </c>
      <c r="P42" s="6" t="s">
        <v>301</v>
      </c>
      <c r="Q42" s="8" t="s">
        <v>109</v>
      </c>
      <c r="R42" s="10" t="s">
        <v>302</v>
      </c>
      <c r="S42" s="11" t="s">
        <v>303</v>
      </c>
      <c r="T42" s="6"/>
      <c r="U42" s="28" t="str">
        <f>HYPERLINK("https://media.infra-m.ru/2127/2127014/cover/2127014.jpg", "Обложка")</f>
        <v>Обложка</v>
      </c>
      <c r="V42" s="28" t="str">
        <f>HYPERLINK("https://znanium.ru/catalog/product/2127014", "Ознакомиться")</f>
        <v>Ознакомиться</v>
      </c>
      <c r="W42" s="8" t="s">
        <v>304</v>
      </c>
      <c r="X42" s="6"/>
      <c r="Y42" s="6"/>
      <c r="Z42" s="6"/>
      <c r="AA42" s="6" t="s">
        <v>163</v>
      </c>
    </row>
    <row r="43" spans="1:27" s="4" customFormat="1" ht="51.95" customHeight="1">
      <c r="A43" s="5">
        <v>0</v>
      </c>
      <c r="B43" s="6" t="s">
        <v>305</v>
      </c>
      <c r="C43" s="13">
        <v>800</v>
      </c>
      <c r="D43" s="8" t="s">
        <v>306</v>
      </c>
      <c r="E43" s="8" t="s">
        <v>307</v>
      </c>
      <c r="F43" s="8" t="s">
        <v>308</v>
      </c>
      <c r="G43" s="6" t="s">
        <v>52</v>
      </c>
      <c r="H43" s="6" t="s">
        <v>38</v>
      </c>
      <c r="I43" s="8" t="s">
        <v>39</v>
      </c>
      <c r="J43" s="9">
        <v>1</v>
      </c>
      <c r="K43" s="9">
        <v>234</v>
      </c>
      <c r="L43" s="9">
        <v>2020</v>
      </c>
      <c r="M43" s="8" t="s">
        <v>309</v>
      </c>
      <c r="N43" s="8" t="s">
        <v>41</v>
      </c>
      <c r="O43" s="8" t="s">
        <v>42</v>
      </c>
      <c r="P43" s="6" t="s">
        <v>66</v>
      </c>
      <c r="Q43" s="8" t="s">
        <v>44</v>
      </c>
      <c r="R43" s="10" t="s">
        <v>310</v>
      </c>
      <c r="S43" s="11" t="s">
        <v>311</v>
      </c>
      <c r="T43" s="6"/>
      <c r="U43" s="28" t="str">
        <f>HYPERLINK("https://media.infra-m.ru/1077/1077338/cover/1077338.jpg", "Обложка")</f>
        <v>Обложка</v>
      </c>
      <c r="V43" s="28" t="str">
        <f>HYPERLINK("https://znanium.ru/catalog/product/1864075", "Ознакомиться")</f>
        <v>Ознакомиться</v>
      </c>
      <c r="W43" s="8" t="s">
        <v>146</v>
      </c>
      <c r="X43" s="6"/>
      <c r="Y43" s="6"/>
      <c r="Z43" s="6"/>
      <c r="AA43" s="6" t="s">
        <v>198</v>
      </c>
    </row>
    <row r="44" spans="1:27" s="4" customFormat="1" ht="51.95" customHeight="1">
      <c r="A44" s="5">
        <v>0</v>
      </c>
      <c r="B44" s="6" t="s">
        <v>312</v>
      </c>
      <c r="C44" s="7">
        <v>1110</v>
      </c>
      <c r="D44" s="8" t="s">
        <v>313</v>
      </c>
      <c r="E44" s="8" t="s">
        <v>307</v>
      </c>
      <c r="F44" s="8" t="s">
        <v>308</v>
      </c>
      <c r="G44" s="6" t="s">
        <v>52</v>
      </c>
      <c r="H44" s="6" t="s">
        <v>38</v>
      </c>
      <c r="I44" s="8" t="s">
        <v>53</v>
      </c>
      <c r="J44" s="9">
        <v>1</v>
      </c>
      <c r="K44" s="9">
        <v>234</v>
      </c>
      <c r="L44" s="9">
        <v>2024</v>
      </c>
      <c r="M44" s="8" t="s">
        <v>314</v>
      </c>
      <c r="N44" s="8" t="s">
        <v>41</v>
      </c>
      <c r="O44" s="8" t="s">
        <v>42</v>
      </c>
      <c r="P44" s="6" t="s">
        <v>66</v>
      </c>
      <c r="Q44" s="8" t="s">
        <v>55</v>
      </c>
      <c r="R44" s="10" t="s">
        <v>160</v>
      </c>
      <c r="S44" s="11" t="s">
        <v>315</v>
      </c>
      <c r="T44" s="6"/>
      <c r="U44" s="28" t="str">
        <f>HYPERLINK("https://media.infra-m.ru/2110/2110038/cover/2110038.jpg", "Обложка")</f>
        <v>Обложка</v>
      </c>
      <c r="V44" s="28" t="str">
        <f>HYPERLINK("https://znanium.ru/catalog/product/2110038", "Ознакомиться")</f>
        <v>Ознакомиться</v>
      </c>
      <c r="W44" s="8" t="s">
        <v>146</v>
      </c>
      <c r="X44" s="6"/>
      <c r="Y44" s="6"/>
      <c r="Z44" s="6" t="s">
        <v>316</v>
      </c>
      <c r="AA44" s="6" t="s">
        <v>112</v>
      </c>
    </row>
    <row r="45" spans="1:27" s="4" customFormat="1" ht="51.95" customHeight="1">
      <c r="A45" s="5">
        <v>0</v>
      </c>
      <c r="B45" s="6" t="s">
        <v>317</v>
      </c>
      <c r="C45" s="7">
        <v>1194</v>
      </c>
      <c r="D45" s="8" t="s">
        <v>318</v>
      </c>
      <c r="E45" s="8" t="s">
        <v>319</v>
      </c>
      <c r="F45" s="8" t="s">
        <v>320</v>
      </c>
      <c r="G45" s="6" t="s">
        <v>52</v>
      </c>
      <c r="H45" s="6" t="s">
        <v>38</v>
      </c>
      <c r="I45" s="8" t="s">
        <v>64</v>
      </c>
      <c r="J45" s="9">
        <v>1</v>
      </c>
      <c r="K45" s="9">
        <v>252</v>
      </c>
      <c r="L45" s="9">
        <v>2024</v>
      </c>
      <c r="M45" s="8" t="s">
        <v>321</v>
      </c>
      <c r="N45" s="8" t="s">
        <v>41</v>
      </c>
      <c r="O45" s="8" t="s">
        <v>42</v>
      </c>
      <c r="P45" s="6" t="s">
        <v>66</v>
      </c>
      <c r="Q45" s="8" t="s">
        <v>83</v>
      </c>
      <c r="R45" s="10" t="s">
        <v>310</v>
      </c>
      <c r="S45" s="11" t="s">
        <v>322</v>
      </c>
      <c r="T45" s="6"/>
      <c r="U45" s="28" t="str">
        <f>HYPERLINK("https://media.infra-m.ru/2134/2134710/cover/2134710.jpg", "Обложка")</f>
        <v>Обложка</v>
      </c>
      <c r="V45" s="28" t="str">
        <f>HYPERLINK("https://znanium.ru/catalog/product/1864075", "Ознакомиться")</f>
        <v>Ознакомиться</v>
      </c>
      <c r="W45" s="8" t="s">
        <v>146</v>
      </c>
      <c r="X45" s="6"/>
      <c r="Y45" s="6"/>
      <c r="Z45" s="6"/>
      <c r="AA45" s="6" t="s">
        <v>323</v>
      </c>
    </row>
    <row r="46" spans="1:27" s="4" customFormat="1" ht="44.1" customHeight="1">
      <c r="A46" s="5">
        <v>0</v>
      </c>
      <c r="B46" s="6" t="s">
        <v>324</v>
      </c>
      <c r="C46" s="7">
        <v>1720</v>
      </c>
      <c r="D46" s="8" t="s">
        <v>325</v>
      </c>
      <c r="E46" s="8" t="s">
        <v>326</v>
      </c>
      <c r="F46" s="8" t="s">
        <v>327</v>
      </c>
      <c r="G46" s="6" t="s">
        <v>52</v>
      </c>
      <c r="H46" s="6" t="s">
        <v>38</v>
      </c>
      <c r="I46" s="8" t="s">
        <v>106</v>
      </c>
      <c r="J46" s="9">
        <v>1</v>
      </c>
      <c r="K46" s="9">
        <v>367</v>
      </c>
      <c r="L46" s="9">
        <v>2024</v>
      </c>
      <c r="M46" s="8" t="s">
        <v>328</v>
      </c>
      <c r="N46" s="8" t="s">
        <v>41</v>
      </c>
      <c r="O46" s="8" t="s">
        <v>42</v>
      </c>
      <c r="P46" s="6" t="s">
        <v>108</v>
      </c>
      <c r="Q46" s="8" t="s">
        <v>109</v>
      </c>
      <c r="R46" s="10" t="s">
        <v>329</v>
      </c>
      <c r="S46" s="11"/>
      <c r="T46" s="6"/>
      <c r="U46" s="28" t="str">
        <f>HYPERLINK("https://media.infra-m.ru/2128/2128097/cover/2128097.jpg", "Обложка")</f>
        <v>Обложка</v>
      </c>
      <c r="V46" s="28" t="str">
        <f>HYPERLINK("https://znanium.ru/catalog/product/2128097", "Ознакомиться")</f>
        <v>Ознакомиться</v>
      </c>
      <c r="W46" s="8" t="s">
        <v>330</v>
      </c>
      <c r="X46" s="6"/>
      <c r="Y46" s="6"/>
      <c r="Z46" s="6"/>
      <c r="AA46" s="6" t="s">
        <v>184</v>
      </c>
    </row>
    <row r="47" spans="1:27" s="4" customFormat="1" ht="51.95" customHeight="1">
      <c r="A47" s="5">
        <v>0</v>
      </c>
      <c r="B47" s="6" t="s">
        <v>331</v>
      </c>
      <c r="C47" s="7">
        <v>1434</v>
      </c>
      <c r="D47" s="8" t="s">
        <v>332</v>
      </c>
      <c r="E47" s="8" t="s">
        <v>333</v>
      </c>
      <c r="F47" s="8" t="s">
        <v>334</v>
      </c>
      <c r="G47" s="6" t="s">
        <v>52</v>
      </c>
      <c r="H47" s="6" t="s">
        <v>38</v>
      </c>
      <c r="I47" s="8" t="s">
        <v>53</v>
      </c>
      <c r="J47" s="9">
        <v>1</v>
      </c>
      <c r="K47" s="9">
        <v>311</v>
      </c>
      <c r="L47" s="9">
        <v>2024</v>
      </c>
      <c r="M47" s="8" t="s">
        <v>335</v>
      </c>
      <c r="N47" s="8" t="s">
        <v>41</v>
      </c>
      <c r="O47" s="8" t="s">
        <v>42</v>
      </c>
      <c r="P47" s="6" t="s">
        <v>66</v>
      </c>
      <c r="Q47" s="8" t="s">
        <v>55</v>
      </c>
      <c r="R47" s="10" t="s">
        <v>160</v>
      </c>
      <c r="S47" s="11" t="s">
        <v>280</v>
      </c>
      <c r="T47" s="6" t="s">
        <v>145</v>
      </c>
      <c r="U47" s="28" t="str">
        <f>HYPERLINK("https://media.infra-m.ru/2134/2134469/cover/2134469.jpg", "Обложка")</f>
        <v>Обложка</v>
      </c>
      <c r="V47" s="28" t="str">
        <f>HYPERLINK("https://znanium.ru/catalog/product/2129113", "Ознакомиться")</f>
        <v>Ознакомиться</v>
      </c>
      <c r="W47" s="8" t="s">
        <v>146</v>
      </c>
      <c r="X47" s="6"/>
      <c r="Y47" s="6"/>
      <c r="Z47" s="6" t="s">
        <v>58</v>
      </c>
      <c r="AA47" s="6" t="s">
        <v>147</v>
      </c>
    </row>
    <row r="48" spans="1:27" s="4" customFormat="1" ht="51.95" customHeight="1">
      <c r="A48" s="5">
        <v>0</v>
      </c>
      <c r="B48" s="6" t="s">
        <v>336</v>
      </c>
      <c r="C48" s="7">
        <v>1440</v>
      </c>
      <c r="D48" s="8" t="s">
        <v>337</v>
      </c>
      <c r="E48" s="8" t="s">
        <v>333</v>
      </c>
      <c r="F48" s="8" t="s">
        <v>338</v>
      </c>
      <c r="G48" s="6" t="s">
        <v>52</v>
      </c>
      <c r="H48" s="6" t="s">
        <v>38</v>
      </c>
      <c r="I48" s="8" t="s">
        <v>64</v>
      </c>
      <c r="J48" s="9">
        <v>1</v>
      </c>
      <c r="K48" s="9">
        <v>311</v>
      </c>
      <c r="L48" s="9">
        <v>2024</v>
      </c>
      <c r="M48" s="8" t="s">
        <v>339</v>
      </c>
      <c r="N48" s="8" t="s">
        <v>41</v>
      </c>
      <c r="O48" s="8" t="s">
        <v>42</v>
      </c>
      <c r="P48" s="6" t="s">
        <v>66</v>
      </c>
      <c r="Q48" s="8" t="s">
        <v>44</v>
      </c>
      <c r="R48" s="10" t="s">
        <v>340</v>
      </c>
      <c r="S48" s="11" t="s">
        <v>341</v>
      </c>
      <c r="T48" s="6" t="s">
        <v>145</v>
      </c>
      <c r="U48" s="28" t="str">
        <f>HYPERLINK("https://media.infra-m.ru/2088/2088252/cover/2088252.jpg", "Обложка")</f>
        <v>Обложка</v>
      </c>
      <c r="V48" s="28" t="str">
        <f>HYPERLINK("https://znanium.ru/catalog/product/2088252", "Ознакомиться")</f>
        <v>Ознакомиться</v>
      </c>
      <c r="W48" s="8" t="s">
        <v>146</v>
      </c>
      <c r="X48" s="6"/>
      <c r="Y48" s="6"/>
      <c r="Z48" s="6"/>
      <c r="AA48" s="6" t="s">
        <v>153</v>
      </c>
    </row>
    <row r="49" spans="1:27" s="4" customFormat="1" ht="51.95" customHeight="1">
      <c r="A49" s="5">
        <v>0</v>
      </c>
      <c r="B49" s="6" t="s">
        <v>342</v>
      </c>
      <c r="C49" s="7">
        <v>1644</v>
      </c>
      <c r="D49" s="8" t="s">
        <v>343</v>
      </c>
      <c r="E49" s="8" t="s">
        <v>344</v>
      </c>
      <c r="F49" s="8" t="s">
        <v>345</v>
      </c>
      <c r="G49" s="6" t="s">
        <v>37</v>
      </c>
      <c r="H49" s="6" t="s">
        <v>38</v>
      </c>
      <c r="I49" s="8" t="s">
        <v>64</v>
      </c>
      <c r="J49" s="9">
        <v>1</v>
      </c>
      <c r="K49" s="9">
        <v>358</v>
      </c>
      <c r="L49" s="9">
        <v>2023</v>
      </c>
      <c r="M49" s="8" t="s">
        <v>346</v>
      </c>
      <c r="N49" s="8" t="s">
        <v>41</v>
      </c>
      <c r="O49" s="8" t="s">
        <v>42</v>
      </c>
      <c r="P49" s="6" t="s">
        <v>43</v>
      </c>
      <c r="Q49" s="8" t="s">
        <v>44</v>
      </c>
      <c r="R49" s="10" t="s">
        <v>347</v>
      </c>
      <c r="S49" s="11" t="s">
        <v>348</v>
      </c>
      <c r="T49" s="6"/>
      <c r="U49" s="28" t="str">
        <f>HYPERLINK("https://media.infra-m.ru/1981/1981594/cover/1981594.jpg", "Обложка")</f>
        <v>Обложка</v>
      </c>
      <c r="V49" s="28" t="str">
        <f>HYPERLINK("https://znanium.ru/catalog/product/1015079", "Ознакомиться")</f>
        <v>Ознакомиться</v>
      </c>
      <c r="W49" s="8" t="s">
        <v>162</v>
      </c>
      <c r="X49" s="6"/>
      <c r="Y49" s="6"/>
      <c r="Z49" s="6"/>
      <c r="AA49" s="6" t="s">
        <v>96</v>
      </c>
    </row>
    <row r="50" spans="1:27" s="4" customFormat="1" ht="42" customHeight="1">
      <c r="A50" s="5">
        <v>0</v>
      </c>
      <c r="B50" s="6" t="s">
        <v>349</v>
      </c>
      <c r="C50" s="13">
        <v>890</v>
      </c>
      <c r="D50" s="8" t="s">
        <v>350</v>
      </c>
      <c r="E50" s="8" t="s">
        <v>351</v>
      </c>
      <c r="F50" s="8" t="s">
        <v>352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183</v>
      </c>
      <c r="L50" s="9">
        <v>2024</v>
      </c>
      <c r="M50" s="8" t="s">
        <v>353</v>
      </c>
      <c r="N50" s="8" t="s">
        <v>41</v>
      </c>
      <c r="O50" s="8" t="s">
        <v>42</v>
      </c>
      <c r="P50" s="6" t="s">
        <v>43</v>
      </c>
      <c r="Q50" s="8" t="s">
        <v>55</v>
      </c>
      <c r="R50" s="10" t="s">
        <v>354</v>
      </c>
      <c r="S50" s="11"/>
      <c r="T50" s="6"/>
      <c r="U50" s="28" t="str">
        <f>HYPERLINK("https://media.infra-m.ru/1859/1859854/cover/1859854.jpg", "Обложка")</f>
        <v>Обложка</v>
      </c>
      <c r="V50" s="28" t="str">
        <f>HYPERLINK("https://znanium.ru/catalog/product/1859854", "Ознакомиться")</f>
        <v>Ознакомиться</v>
      </c>
      <c r="W50" s="8" t="s">
        <v>355</v>
      </c>
      <c r="X50" s="6" t="s">
        <v>356</v>
      </c>
      <c r="Y50" s="6"/>
      <c r="Z50" s="6"/>
      <c r="AA50" s="6" t="s">
        <v>88</v>
      </c>
    </row>
    <row r="51" spans="1:27" s="4" customFormat="1" ht="42" customHeight="1">
      <c r="A51" s="5">
        <v>0</v>
      </c>
      <c r="B51" s="6" t="s">
        <v>357</v>
      </c>
      <c r="C51" s="13">
        <v>834.9</v>
      </c>
      <c r="D51" s="8" t="s">
        <v>358</v>
      </c>
      <c r="E51" s="8" t="s">
        <v>359</v>
      </c>
      <c r="F51" s="8" t="s">
        <v>360</v>
      </c>
      <c r="G51" s="6" t="s">
        <v>117</v>
      </c>
      <c r="H51" s="6" t="s">
        <v>361</v>
      </c>
      <c r="I51" s="8" t="s">
        <v>106</v>
      </c>
      <c r="J51" s="9">
        <v>1</v>
      </c>
      <c r="K51" s="9">
        <v>186</v>
      </c>
      <c r="L51" s="9">
        <v>2023</v>
      </c>
      <c r="M51" s="8" t="s">
        <v>362</v>
      </c>
      <c r="N51" s="8" t="s">
        <v>41</v>
      </c>
      <c r="O51" s="8" t="s">
        <v>42</v>
      </c>
      <c r="P51" s="6" t="s">
        <v>108</v>
      </c>
      <c r="Q51" s="8" t="s">
        <v>109</v>
      </c>
      <c r="R51" s="10" t="s">
        <v>363</v>
      </c>
      <c r="S51" s="11"/>
      <c r="T51" s="6"/>
      <c r="U51" s="28" t="str">
        <f>HYPERLINK("https://media.infra-m.ru/1898/1898014/cover/1898014.jpg", "Обложка")</f>
        <v>Обложка</v>
      </c>
      <c r="V51" s="28" t="str">
        <f>HYPERLINK("https://znanium.ru/catalog/product/1228785", "Ознакомиться")</f>
        <v>Ознакомиться</v>
      </c>
      <c r="W51" s="8" t="s">
        <v>364</v>
      </c>
      <c r="X51" s="6"/>
      <c r="Y51" s="6"/>
      <c r="Z51" s="6"/>
      <c r="AA51" s="6" t="s">
        <v>48</v>
      </c>
    </row>
    <row r="52" spans="1:27" s="4" customFormat="1" ht="42" customHeight="1">
      <c r="A52" s="5">
        <v>0</v>
      </c>
      <c r="B52" s="6" t="s">
        <v>365</v>
      </c>
      <c r="C52" s="13">
        <v>574.9</v>
      </c>
      <c r="D52" s="8" t="s">
        <v>366</v>
      </c>
      <c r="E52" s="8" t="s">
        <v>367</v>
      </c>
      <c r="F52" s="8" t="s">
        <v>368</v>
      </c>
      <c r="G52" s="6" t="s">
        <v>117</v>
      </c>
      <c r="H52" s="6" t="s">
        <v>38</v>
      </c>
      <c r="I52" s="8" t="s">
        <v>106</v>
      </c>
      <c r="J52" s="9">
        <v>1</v>
      </c>
      <c r="K52" s="9">
        <v>163</v>
      </c>
      <c r="L52" s="9">
        <v>2020</v>
      </c>
      <c r="M52" s="8" t="s">
        <v>369</v>
      </c>
      <c r="N52" s="8" t="s">
        <v>41</v>
      </c>
      <c r="O52" s="8" t="s">
        <v>42</v>
      </c>
      <c r="P52" s="6" t="s">
        <v>108</v>
      </c>
      <c r="Q52" s="8" t="s">
        <v>109</v>
      </c>
      <c r="R52" s="10" t="s">
        <v>370</v>
      </c>
      <c r="S52" s="11"/>
      <c r="T52" s="6"/>
      <c r="U52" s="28" t="str">
        <f>HYPERLINK("https://media.infra-m.ru/1036/1036529/cover/1036529.jpg", "Обложка")</f>
        <v>Обложка</v>
      </c>
      <c r="V52" s="28" t="str">
        <f>HYPERLINK("https://znanium.ru/catalog/product/1036529", "Ознакомиться")</f>
        <v>Ознакомиться</v>
      </c>
      <c r="W52" s="8" t="s">
        <v>371</v>
      </c>
      <c r="X52" s="6"/>
      <c r="Y52" s="6"/>
      <c r="Z52" s="6"/>
      <c r="AA52" s="6" t="s">
        <v>205</v>
      </c>
    </row>
    <row r="53" spans="1:27" s="4" customFormat="1" ht="51.95" customHeight="1">
      <c r="A53" s="5">
        <v>0</v>
      </c>
      <c r="B53" s="6" t="s">
        <v>372</v>
      </c>
      <c r="C53" s="7">
        <v>1730</v>
      </c>
      <c r="D53" s="8" t="s">
        <v>373</v>
      </c>
      <c r="E53" s="8" t="s">
        <v>374</v>
      </c>
      <c r="F53" s="8" t="s">
        <v>375</v>
      </c>
      <c r="G53" s="6" t="s">
        <v>52</v>
      </c>
      <c r="H53" s="6" t="s">
        <v>38</v>
      </c>
      <c r="I53" s="8" t="s">
        <v>376</v>
      </c>
      <c r="J53" s="9">
        <v>1</v>
      </c>
      <c r="K53" s="9">
        <v>376</v>
      </c>
      <c r="L53" s="9">
        <v>2023</v>
      </c>
      <c r="M53" s="8" t="s">
        <v>377</v>
      </c>
      <c r="N53" s="8" t="s">
        <v>41</v>
      </c>
      <c r="O53" s="8" t="s">
        <v>42</v>
      </c>
      <c r="P53" s="6" t="s">
        <v>378</v>
      </c>
      <c r="Q53" s="8" t="s">
        <v>109</v>
      </c>
      <c r="R53" s="10" t="s">
        <v>379</v>
      </c>
      <c r="S53" s="11"/>
      <c r="T53" s="6"/>
      <c r="U53" s="28" t="str">
        <f>HYPERLINK("https://media.infra-m.ru/1909/1909201/cover/1909201.jpg", "Обложка")</f>
        <v>Обложка</v>
      </c>
      <c r="V53" s="28" t="str">
        <f>HYPERLINK("https://znanium.ru/catalog/product/1909201", "Ознакомиться")</f>
        <v>Ознакомиться</v>
      </c>
      <c r="W53" s="8" t="s">
        <v>47</v>
      </c>
      <c r="X53" s="6"/>
      <c r="Y53" s="6"/>
      <c r="Z53" s="6"/>
      <c r="AA53" s="6" t="s">
        <v>48</v>
      </c>
    </row>
    <row r="54" spans="1:27" s="4" customFormat="1" ht="51.95" customHeight="1">
      <c r="A54" s="5">
        <v>0</v>
      </c>
      <c r="B54" s="6" t="s">
        <v>380</v>
      </c>
      <c r="C54" s="7">
        <v>1470</v>
      </c>
      <c r="D54" s="8" t="s">
        <v>381</v>
      </c>
      <c r="E54" s="8" t="s">
        <v>382</v>
      </c>
      <c r="F54" s="8" t="s">
        <v>383</v>
      </c>
      <c r="G54" s="6" t="s">
        <v>52</v>
      </c>
      <c r="H54" s="6" t="s">
        <v>38</v>
      </c>
      <c r="I54" s="8" t="s">
        <v>39</v>
      </c>
      <c r="J54" s="9">
        <v>1</v>
      </c>
      <c r="K54" s="9">
        <v>318</v>
      </c>
      <c r="L54" s="9">
        <v>2023</v>
      </c>
      <c r="M54" s="8" t="s">
        <v>384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385</v>
      </c>
      <c r="S54" s="11" t="s">
        <v>386</v>
      </c>
      <c r="T54" s="6"/>
      <c r="U54" s="28" t="str">
        <f>HYPERLINK("https://media.infra-m.ru/2127/2127024/cover/2127024.jpg", "Обложка")</f>
        <v>Обложка</v>
      </c>
      <c r="V54" s="28" t="str">
        <f>HYPERLINK("https://znanium.ru/catalog/product/2127024", "Ознакомиться")</f>
        <v>Ознакомиться</v>
      </c>
      <c r="W54" s="8" t="s">
        <v>387</v>
      </c>
      <c r="X54" s="6"/>
      <c r="Y54" s="6"/>
      <c r="Z54" s="6"/>
      <c r="AA54" s="6" t="s">
        <v>121</v>
      </c>
    </row>
    <row r="55" spans="1:27" s="4" customFormat="1" ht="51.95" customHeight="1">
      <c r="A55" s="5">
        <v>0</v>
      </c>
      <c r="B55" s="6" t="s">
        <v>388</v>
      </c>
      <c r="C55" s="7">
        <v>2020</v>
      </c>
      <c r="D55" s="8" t="s">
        <v>389</v>
      </c>
      <c r="E55" s="8" t="s">
        <v>390</v>
      </c>
      <c r="F55" s="8" t="s">
        <v>383</v>
      </c>
      <c r="G55" s="6" t="s">
        <v>37</v>
      </c>
      <c r="H55" s="6" t="s">
        <v>38</v>
      </c>
      <c r="I55" s="8" t="s">
        <v>39</v>
      </c>
      <c r="J55" s="9">
        <v>1</v>
      </c>
      <c r="K55" s="9">
        <v>438</v>
      </c>
      <c r="L55" s="9">
        <v>2023</v>
      </c>
      <c r="M55" s="8" t="s">
        <v>391</v>
      </c>
      <c r="N55" s="8" t="s">
        <v>41</v>
      </c>
      <c r="O55" s="8" t="s">
        <v>42</v>
      </c>
      <c r="P55" s="6" t="s">
        <v>43</v>
      </c>
      <c r="Q55" s="8" t="s">
        <v>44</v>
      </c>
      <c r="R55" s="10" t="s">
        <v>392</v>
      </c>
      <c r="S55" s="11" t="s">
        <v>393</v>
      </c>
      <c r="T55" s="6"/>
      <c r="U55" s="28" t="str">
        <f>HYPERLINK("https://media.infra-m.ru/1960/1960101/cover/1960101.jpg", "Обложка")</f>
        <v>Обложка</v>
      </c>
      <c r="V55" s="28" t="str">
        <f>HYPERLINK("https://znanium.ru/catalog/product/1960101", "Ознакомиться")</f>
        <v>Ознакомиться</v>
      </c>
      <c r="W55" s="8" t="s">
        <v>387</v>
      </c>
      <c r="X55" s="6"/>
      <c r="Y55" s="6" t="s">
        <v>30</v>
      </c>
      <c r="Z55" s="6"/>
      <c r="AA55" s="6" t="s">
        <v>137</v>
      </c>
    </row>
    <row r="56" spans="1:27" s="4" customFormat="1" ht="51.95" customHeight="1">
      <c r="A56" s="5">
        <v>0</v>
      </c>
      <c r="B56" s="6" t="s">
        <v>394</v>
      </c>
      <c r="C56" s="13">
        <v>924</v>
      </c>
      <c r="D56" s="8" t="s">
        <v>395</v>
      </c>
      <c r="E56" s="8" t="s">
        <v>396</v>
      </c>
      <c r="F56" s="8" t="s">
        <v>397</v>
      </c>
      <c r="G56" s="6" t="s">
        <v>117</v>
      </c>
      <c r="H56" s="6" t="s">
        <v>38</v>
      </c>
      <c r="I56" s="8" t="s">
        <v>39</v>
      </c>
      <c r="J56" s="9">
        <v>1</v>
      </c>
      <c r="K56" s="9">
        <v>202</v>
      </c>
      <c r="L56" s="9">
        <v>2024</v>
      </c>
      <c r="M56" s="8" t="s">
        <v>398</v>
      </c>
      <c r="N56" s="8" t="s">
        <v>41</v>
      </c>
      <c r="O56" s="8" t="s">
        <v>42</v>
      </c>
      <c r="P56" s="6" t="s">
        <v>43</v>
      </c>
      <c r="Q56" s="8" t="s">
        <v>44</v>
      </c>
      <c r="R56" s="10" t="s">
        <v>293</v>
      </c>
      <c r="S56" s="11" t="s">
        <v>399</v>
      </c>
      <c r="T56" s="6"/>
      <c r="U56" s="28" t="str">
        <f>HYPERLINK("https://media.infra-m.ru/2087/2087259/cover/2087259.jpg", "Обложка")</f>
        <v>Обложка</v>
      </c>
      <c r="V56" s="28" t="str">
        <f>HYPERLINK("https://znanium.ru/catalog/product/1851549", "Ознакомиться")</f>
        <v>Ознакомиться</v>
      </c>
      <c r="W56" s="8" t="s">
        <v>146</v>
      </c>
      <c r="X56" s="6"/>
      <c r="Y56" s="6"/>
      <c r="Z56" s="6"/>
      <c r="AA56" s="6" t="s">
        <v>96</v>
      </c>
    </row>
    <row r="57" spans="1:27" s="4" customFormat="1" ht="51.95" customHeight="1">
      <c r="A57" s="5">
        <v>0</v>
      </c>
      <c r="B57" s="6" t="s">
        <v>400</v>
      </c>
      <c r="C57" s="7">
        <v>2410</v>
      </c>
      <c r="D57" s="8" t="s">
        <v>401</v>
      </c>
      <c r="E57" s="8" t="s">
        <v>402</v>
      </c>
      <c r="F57" s="8" t="s">
        <v>403</v>
      </c>
      <c r="G57" s="6" t="s">
        <v>37</v>
      </c>
      <c r="H57" s="6" t="s">
        <v>38</v>
      </c>
      <c r="I57" s="8" t="s">
        <v>64</v>
      </c>
      <c r="J57" s="9">
        <v>1</v>
      </c>
      <c r="K57" s="9">
        <v>522</v>
      </c>
      <c r="L57" s="9">
        <v>2024</v>
      </c>
      <c r="M57" s="8" t="s">
        <v>404</v>
      </c>
      <c r="N57" s="8" t="s">
        <v>41</v>
      </c>
      <c r="O57" s="8" t="s">
        <v>42</v>
      </c>
      <c r="P57" s="6" t="s">
        <v>66</v>
      </c>
      <c r="Q57" s="8" t="s">
        <v>44</v>
      </c>
      <c r="R57" s="10" t="s">
        <v>405</v>
      </c>
      <c r="S57" s="11" t="s">
        <v>406</v>
      </c>
      <c r="T57" s="6" t="s">
        <v>145</v>
      </c>
      <c r="U57" s="28" t="str">
        <f>HYPERLINK("https://media.infra-m.ru/2094/2094364/cover/2094364.jpg", "Обложка")</f>
        <v>Обложка</v>
      </c>
      <c r="V57" s="28" t="str">
        <f>HYPERLINK("https://znanium.ru/catalog/product/2094364", "Ознакомиться")</f>
        <v>Ознакомиться</v>
      </c>
      <c r="W57" s="8" t="s">
        <v>47</v>
      </c>
      <c r="X57" s="6"/>
      <c r="Y57" s="6"/>
      <c r="Z57" s="6"/>
      <c r="AA57" s="6" t="s">
        <v>163</v>
      </c>
    </row>
    <row r="58" spans="1:27" s="4" customFormat="1" ht="51.95" customHeight="1">
      <c r="A58" s="5">
        <v>0</v>
      </c>
      <c r="B58" s="6" t="s">
        <v>407</v>
      </c>
      <c r="C58" s="7">
        <v>2400</v>
      </c>
      <c r="D58" s="8" t="s">
        <v>408</v>
      </c>
      <c r="E58" s="8" t="s">
        <v>402</v>
      </c>
      <c r="F58" s="8" t="s">
        <v>403</v>
      </c>
      <c r="G58" s="6" t="s">
        <v>37</v>
      </c>
      <c r="H58" s="6" t="s">
        <v>38</v>
      </c>
      <c r="I58" s="8" t="s">
        <v>53</v>
      </c>
      <c r="J58" s="9">
        <v>1</v>
      </c>
      <c r="K58" s="9">
        <v>522</v>
      </c>
      <c r="L58" s="9">
        <v>2024</v>
      </c>
      <c r="M58" s="8" t="s">
        <v>409</v>
      </c>
      <c r="N58" s="8" t="s">
        <v>41</v>
      </c>
      <c r="O58" s="8" t="s">
        <v>42</v>
      </c>
      <c r="P58" s="6" t="s">
        <v>66</v>
      </c>
      <c r="Q58" s="8" t="s">
        <v>55</v>
      </c>
      <c r="R58" s="10" t="s">
        <v>410</v>
      </c>
      <c r="S58" s="11" t="s">
        <v>411</v>
      </c>
      <c r="T58" s="6" t="s">
        <v>145</v>
      </c>
      <c r="U58" s="28" t="str">
        <f>HYPERLINK("https://media.infra-m.ru/2132/2132536/cover/2132536.jpg", "Обложка")</f>
        <v>Обложка</v>
      </c>
      <c r="V58" s="28" t="str">
        <f>HYPERLINK("https://znanium.ru/catalog/product/2132536", "Ознакомиться")</f>
        <v>Ознакомиться</v>
      </c>
      <c r="W58" s="8" t="s">
        <v>47</v>
      </c>
      <c r="X58" s="6"/>
      <c r="Y58" s="6"/>
      <c r="Z58" s="6" t="s">
        <v>58</v>
      </c>
      <c r="AA58" s="6" t="s">
        <v>112</v>
      </c>
    </row>
    <row r="59" spans="1:27" s="4" customFormat="1" ht="44.1" customHeight="1">
      <c r="A59" s="5">
        <v>0</v>
      </c>
      <c r="B59" s="6" t="s">
        <v>412</v>
      </c>
      <c r="C59" s="13">
        <v>890</v>
      </c>
      <c r="D59" s="8" t="s">
        <v>413</v>
      </c>
      <c r="E59" s="8" t="s">
        <v>414</v>
      </c>
      <c r="F59" s="8" t="s">
        <v>415</v>
      </c>
      <c r="G59" s="6" t="s">
        <v>117</v>
      </c>
      <c r="H59" s="6" t="s">
        <v>38</v>
      </c>
      <c r="I59" s="8" t="s">
        <v>106</v>
      </c>
      <c r="J59" s="9">
        <v>1</v>
      </c>
      <c r="K59" s="9">
        <v>184</v>
      </c>
      <c r="L59" s="9">
        <v>2022</v>
      </c>
      <c r="M59" s="8" t="s">
        <v>416</v>
      </c>
      <c r="N59" s="8" t="s">
        <v>41</v>
      </c>
      <c r="O59" s="8" t="s">
        <v>42</v>
      </c>
      <c r="P59" s="6" t="s">
        <v>108</v>
      </c>
      <c r="Q59" s="8" t="s">
        <v>109</v>
      </c>
      <c r="R59" s="10" t="s">
        <v>417</v>
      </c>
      <c r="S59" s="11"/>
      <c r="T59" s="6"/>
      <c r="U59" s="28" t="str">
        <f>HYPERLINK("https://media.infra-m.ru/1870/1870595/cover/1870595.jpg", "Обложка")</f>
        <v>Обложка</v>
      </c>
      <c r="V59" s="28" t="str">
        <f>HYPERLINK("https://znanium.ru/catalog/product/1870595", "Ознакомиться")</f>
        <v>Ознакомиться</v>
      </c>
      <c r="W59" s="8" t="s">
        <v>418</v>
      </c>
      <c r="X59" s="6"/>
      <c r="Y59" s="6"/>
      <c r="Z59" s="6"/>
      <c r="AA59" s="6" t="s">
        <v>419</v>
      </c>
    </row>
    <row r="60" spans="1:27" s="4" customFormat="1" ht="51.95" customHeight="1">
      <c r="A60" s="5">
        <v>0</v>
      </c>
      <c r="B60" s="6" t="s">
        <v>420</v>
      </c>
      <c r="C60" s="7">
        <v>1160</v>
      </c>
      <c r="D60" s="8" t="s">
        <v>421</v>
      </c>
      <c r="E60" s="8" t="s">
        <v>422</v>
      </c>
      <c r="F60" s="8" t="s">
        <v>423</v>
      </c>
      <c r="G60" s="6" t="s">
        <v>52</v>
      </c>
      <c r="H60" s="6" t="s">
        <v>38</v>
      </c>
      <c r="I60" s="8" t="s">
        <v>53</v>
      </c>
      <c r="J60" s="9">
        <v>1</v>
      </c>
      <c r="K60" s="9">
        <v>252</v>
      </c>
      <c r="L60" s="9">
        <v>2024</v>
      </c>
      <c r="M60" s="8" t="s">
        <v>424</v>
      </c>
      <c r="N60" s="8" t="s">
        <v>41</v>
      </c>
      <c r="O60" s="8" t="s">
        <v>42</v>
      </c>
      <c r="P60" s="6" t="s">
        <v>66</v>
      </c>
      <c r="Q60" s="8" t="s">
        <v>55</v>
      </c>
      <c r="R60" s="10" t="s">
        <v>100</v>
      </c>
      <c r="S60" s="11" t="s">
        <v>425</v>
      </c>
      <c r="T60" s="6" t="s">
        <v>145</v>
      </c>
      <c r="U60" s="28" t="str">
        <f>HYPERLINK("https://media.infra-m.ru/2126/2126824/cover/2126824.jpg", "Обложка")</f>
        <v>Обложка</v>
      </c>
      <c r="V60" s="28" t="str">
        <f>HYPERLINK("https://znanium.ru/catalog/product/2126824", "Ознакомиться")</f>
        <v>Ознакомиться</v>
      </c>
      <c r="W60" s="8" t="s">
        <v>47</v>
      </c>
      <c r="X60" s="6"/>
      <c r="Y60" s="6"/>
      <c r="Z60" s="6"/>
      <c r="AA60" s="6" t="s">
        <v>163</v>
      </c>
    </row>
    <row r="61" spans="1:27" s="4" customFormat="1" ht="51.95" customHeight="1">
      <c r="A61" s="5">
        <v>0</v>
      </c>
      <c r="B61" s="6" t="s">
        <v>426</v>
      </c>
      <c r="C61" s="7">
        <v>1960</v>
      </c>
      <c r="D61" s="8" t="s">
        <v>427</v>
      </c>
      <c r="E61" s="8" t="s">
        <v>428</v>
      </c>
      <c r="F61" s="8" t="s">
        <v>429</v>
      </c>
      <c r="G61" s="6" t="s">
        <v>37</v>
      </c>
      <c r="H61" s="6" t="s">
        <v>38</v>
      </c>
      <c r="I61" s="8" t="s">
        <v>53</v>
      </c>
      <c r="J61" s="9">
        <v>1</v>
      </c>
      <c r="K61" s="9">
        <v>424</v>
      </c>
      <c r="L61" s="9">
        <v>2024</v>
      </c>
      <c r="M61" s="8" t="s">
        <v>430</v>
      </c>
      <c r="N61" s="8" t="s">
        <v>41</v>
      </c>
      <c r="O61" s="8" t="s">
        <v>42</v>
      </c>
      <c r="P61" s="6" t="s">
        <v>43</v>
      </c>
      <c r="Q61" s="8" t="s">
        <v>55</v>
      </c>
      <c r="R61" s="10" t="s">
        <v>431</v>
      </c>
      <c r="S61" s="11" t="s">
        <v>432</v>
      </c>
      <c r="T61" s="6"/>
      <c r="U61" s="28" t="str">
        <f>HYPERLINK("https://media.infra-m.ru/2106/2106267/cover/2106267.jpg", "Обложка")</f>
        <v>Обложка</v>
      </c>
      <c r="V61" s="28" t="str">
        <f>HYPERLINK("https://znanium.ru/catalog/product/2106267", "Ознакомиться")</f>
        <v>Ознакомиться</v>
      </c>
      <c r="W61" s="8" t="s">
        <v>47</v>
      </c>
      <c r="X61" s="6"/>
      <c r="Y61" s="6"/>
      <c r="Z61" s="6" t="s">
        <v>58</v>
      </c>
      <c r="AA61" s="6" t="s">
        <v>112</v>
      </c>
    </row>
    <row r="62" spans="1:27" s="4" customFormat="1" ht="51.95" customHeight="1">
      <c r="A62" s="5">
        <v>0</v>
      </c>
      <c r="B62" s="6" t="s">
        <v>433</v>
      </c>
      <c r="C62" s="7">
        <v>1954</v>
      </c>
      <c r="D62" s="8" t="s">
        <v>434</v>
      </c>
      <c r="E62" s="8" t="s">
        <v>435</v>
      </c>
      <c r="F62" s="8" t="s">
        <v>436</v>
      </c>
      <c r="G62" s="6" t="s">
        <v>37</v>
      </c>
      <c r="H62" s="6" t="s">
        <v>38</v>
      </c>
      <c r="I62" s="8" t="s">
        <v>39</v>
      </c>
      <c r="J62" s="9">
        <v>1</v>
      </c>
      <c r="K62" s="9">
        <v>424</v>
      </c>
      <c r="L62" s="9">
        <v>2024</v>
      </c>
      <c r="M62" s="8" t="s">
        <v>437</v>
      </c>
      <c r="N62" s="8" t="s">
        <v>41</v>
      </c>
      <c r="O62" s="8" t="s">
        <v>42</v>
      </c>
      <c r="P62" s="6" t="s">
        <v>43</v>
      </c>
      <c r="Q62" s="8" t="s">
        <v>44</v>
      </c>
      <c r="R62" s="10" t="s">
        <v>438</v>
      </c>
      <c r="S62" s="11" t="s">
        <v>439</v>
      </c>
      <c r="T62" s="6"/>
      <c r="U62" s="28" t="str">
        <f>HYPERLINK("https://media.infra-m.ru/2102/2102173/cover/2102173.jpg", "Обложка")</f>
        <v>Обложка</v>
      </c>
      <c r="V62" s="28" t="str">
        <f>HYPERLINK("https://znanium.ru/catalog/product/956683", "Ознакомиться")</f>
        <v>Ознакомиться</v>
      </c>
      <c r="W62" s="8" t="s">
        <v>47</v>
      </c>
      <c r="X62" s="6"/>
      <c r="Y62" s="6"/>
      <c r="Z62" s="6"/>
      <c r="AA62" s="6" t="s">
        <v>198</v>
      </c>
    </row>
    <row r="63" spans="1:27" s="4" customFormat="1" ht="51.95" customHeight="1">
      <c r="A63" s="5">
        <v>0</v>
      </c>
      <c r="B63" s="6" t="s">
        <v>440</v>
      </c>
      <c r="C63" s="7">
        <v>2400</v>
      </c>
      <c r="D63" s="8" t="s">
        <v>441</v>
      </c>
      <c r="E63" s="8" t="s">
        <v>442</v>
      </c>
      <c r="F63" s="8" t="s">
        <v>443</v>
      </c>
      <c r="G63" s="6" t="s">
        <v>52</v>
      </c>
      <c r="H63" s="6" t="s">
        <v>38</v>
      </c>
      <c r="I63" s="8" t="s">
        <v>39</v>
      </c>
      <c r="J63" s="9">
        <v>1</v>
      </c>
      <c r="K63" s="9">
        <v>608</v>
      </c>
      <c r="L63" s="9">
        <v>2022</v>
      </c>
      <c r="M63" s="8" t="s">
        <v>444</v>
      </c>
      <c r="N63" s="8" t="s">
        <v>41</v>
      </c>
      <c r="O63" s="8" t="s">
        <v>42</v>
      </c>
      <c r="P63" s="6" t="s">
        <v>66</v>
      </c>
      <c r="Q63" s="8" t="s">
        <v>44</v>
      </c>
      <c r="R63" s="10" t="s">
        <v>445</v>
      </c>
      <c r="S63" s="11" t="s">
        <v>446</v>
      </c>
      <c r="T63" s="6"/>
      <c r="U63" s="28" t="str">
        <f>HYPERLINK("https://media.infra-m.ru/1908/1908862/cover/1908862.jpg", "Обложка")</f>
        <v>Обложка</v>
      </c>
      <c r="V63" s="28" t="str">
        <f>HYPERLINK("https://znanium.ru/catalog/product/1908862", "Ознакомиться")</f>
        <v>Ознакомиться</v>
      </c>
      <c r="W63" s="8" t="s">
        <v>47</v>
      </c>
      <c r="X63" s="6"/>
      <c r="Y63" s="6"/>
      <c r="Z63" s="6"/>
      <c r="AA63" s="6" t="s">
        <v>198</v>
      </c>
    </row>
    <row r="64" spans="1:27" s="4" customFormat="1" ht="51.95" customHeight="1">
      <c r="A64" s="5">
        <v>0</v>
      </c>
      <c r="B64" s="6" t="s">
        <v>447</v>
      </c>
      <c r="C64" s="7">
        <v>1090</v>
      </c>
      <c r="D64" s="8" t="s">
        <v>448</v>
      </c>
      <c r="E64" s="8" t="s">
        <v>442</v>
      </c>
      <c r="F64" s="8" t="s">
        <v>423</v>
      </c>
      <c r="G64" s="6" t="s">
        <v>52</v>
      </c>
      <c r="H64" s="6" t="s">
        <v>38</v>
      </c>
      <c r="I64" s="8" t="s">
        <v>64</v>
      </c>
      <c r="J64" s="9">
        <v>1</v>
      </c>
      <c r="K64" s="9">
        <v>237</v>
      </c>
      <c r="L64" s="9">
        <v>2024</v>
      </c>
      <c r="M64" s="8" t="s">
        <v>449</v>
      </c>
      <c r="N64" s="8" t="s">
        <v>41</v>
      </c>
      <c r="O64" s="8" t="s">
        <v>42</v>
      </c>
      <c r="P64" s="6" t="s">
        <v>43</v>
      </c>
      <c r="Q64" s="8" t="s">
        <v>83</v>
      </c>
      <c r="R64" s="10" t="s">
        <v>450</v>
      </c>
      <c r="S64" s="11" t="s">
        <v>451</v>
      </c>
      <c r="T64" s="6" t="s">
        <v>145</v>
      </c>
      <c r="U64" s="28" t="str">
        <f>HYPERLINK("https://media.infra-m.ru/2019/2019768/cover/2019768.jpg", "Обложка")</f>
        <v>Обложка</v>
      </c>
      <c r="V64" s="28" t="str">
        <f>HYPERLINK("https://znanium.ru/catalog/product/2019768", "Ознакомиться")</f>
        <v>Ознакомиться</v>
      </c>
      <c r="W64" s="8" t="s">
        <v>47</v>
      </c>
      <c r="X64" s="6"/>
      <c r="Y64" s="6"/>
      <c r="Z64" s="6"/>
      <c r="AA64" s="6" t="s">
        <v>163</v>
      </c>
    </row>
    <row r="65" spans="1:27" s="4" customFormat="1" ht="51.95" customHeight="1">
      <c r="A65" s="5">
        <v>0</v>
      </c>
      <c r="B65" s="6" t="s">
        <v>452</v>
      </c>
      <c r="C65" s="7">
        <v>1090</v>
      </c>
      <c r="D65" s="8" t="s">
        <v>453</v>
      </c>
      <c r="E65" s="8" t="s">
        <v>442</v>
      </c>
      <c r="F65" s="8" t="s">
        <v>423</v>
      </c>
      <c r="G65" s="6" t="s">
        <v>52</v>
      </c>
      <c r="H65" s="6" t="s">
        <v>38</v>
      </c>
      <c r="I65" s="8" t="s">
        <v>53</v>
      </c>
      <c r="J65" s="9">
        <v>1</v>
      </c>
      <c r="K65" s="9">
        <v>237</v>
      </c>
      <c r="L65" s="9">
        <v>2024</v>
      </c>
      <c r="M65" s="8" t="s">
        <v>454</v>
      </c>
      <c r="N65" s="8" t="s">
        <v>41</v>
      </c>
      <c r="O65" s="8" t="s">
        <v>42</v>
      </c>
      <c r="P65" s="6" t="s">
        <v>43</v>
      </c>
      <c r="Q65" s="8" t="s">
        <v>55</v>
      </c>
      <c r="R65" s="10" t="s">
        <v>455</v>
      </c>
      <c r="S65" s="11" t="s">
        <v>101</v>
      </c>
      <c r="T65" s="6" t="s">
        <v>145</v>
      </c>
      <c r="U65" s="28" t="str">
        <f>HYPERLINK("https://media.infra-m.ru/2103/2103174/cover/2103174.jpg", "Обложка")</f>
        <v>Обложка</v>
      </c>
      <c r="V65" s="28" t="str">
        <f>HYPERLINK("https://znanium.ru/catalog/product/2103174", "Ознакомиться")</f>
        <v>Ознакомиться</v>
      </c>
      <c r="W65" s="8" t="s">
        <v>47</v>
      </c>
      <c r="X65" s="6"/>
      <c r="Y65" s="6"/>
      <c r="Z65" s="6" t="s">
        <v>316</v>
      </c>
      <c r="AA65" s="6" t="s">
        <v>59</v>
      </c>
    </row>
    <row r="66" spans="1:27" s="4" customFormat="1" ht="42" customHeight="1">
      <c r="A66" s="5">
        <v>0</v>
      </c>
      <c r="B66" s="6" t="s">
        <v>456</v>
      </c>
      <c r="C66" s="7">
        <v>1144</v>
      </c>
      <c r="D66" s="8" t="s">
        <v>457</v>
      </c>
      <c r="E66" s="8" t="s">
        <v>458</v>
      </c>
      <c r="F66" s="8" t="s">
        <v>459</v>
      </c>
      <c r="G66" s="6" t="s">
        <v>52</v>
      </c>
      <c r="H66" s="6" t="s">
        <v>38</v>
      </c>
      <c r="I66" s="8" t="s">
        <v>106</v>
      </c>
      <c r="J66" s="9">
        <v>1</v>
      </c>
      <c r="K66" s="9">
        <v>242</v>
      </c>
      <c r="L66" s="9">
        <v>2024</v>
      </c>
      <c r="M66" s="8" t="s">
        <v>460</v>
      </c>
      <c r="N66" s="8" t="s">
        <v>41</v>
      </c>
      <c r="O66" s="8" t="s">
        <v>42</v>
      </c>
      <c r="P66" s="6" t="s">
        <v>108</v>
      </c>
      <c r="Q66" s="8" t="s">
        <v>109</v>
      </c>
      <c r="R66" s="10" t="s">
        <v>450</v>
      </c>
      <c r="S66" s="11"/>
      <c r="T66" s="6"/>
      <c r="U66" s="28" t="str">
        <f>HYPERLINK("https://media.infra-m.ru/2140/2140703/cover/2140703.jpg", "Обложка")</f>
        <v>Обложка</v>
      </c>
      <c r="V66" s="28" t="str">
        <f>HYPERLINK("https://znanium.ru/catalog/product/1851693", "Ознакомиться")</f>
        <v>Ознакомиться</v>
      </c>
      <c r="W66" s="8" t="s">
        <v>47</v>
      </c>
      <c r="X66" s="6"/>
      <c r="Y66" s="6"/>
      <c r="Z66" s="6"/>
      <c r="AA66" s="6" t="s">
        <v>163</v>
      </c>
    </row>
    <row r="67" spans="1:27" s="4" customFormat="1" ht="42" customHeight="1">
      <c r="A67" s="5">
        <v>0</v>
      </c>
      <c r="B67" s="6" t="s">
        <v>461</v>
      </c>
      <c r="C67" s="7">
        <v>1160</v>
      </c>
      <c r="D67" s="8" t="s">
        <v>462</v>
      </c>
      <c r="E67" s="8" t="s">
        <v>463</v>
      </c>
      <c r="F67" s="8" t="s">
        <v>464</v>
      </c>
      <c r="G67" s="6" t="s">
        <v>52</v>
      </c>
      <c r="H67" s="6" t="s">
        <v>255</v>
      </c>
      <c r="I67" s="8"/>
      <c r="J67" s="9">
        <v>1</v>
      </c>
      <c r="K67" s="9">
        <v>248</v>
      </c>
      <c r="L67" s="9">
        <v>2024</v>
      </c>
      <c r="M67" s="8" t="s">
        <v>465</v>
      </c>
      <c r="N67" s="8" t="s">
        <v>41</v>
      </c>
      <c r="O67" s="8" t="s">
        <v>42</v>
      </c>
      <c r="P67" s="6" t="s">
        <v>66</v>
      </c>
      <c r="Q67" s="8" t="s">
        <v>44</v>
      </c>
      <c r="R67" s="10" t="s">
        <v>152</v>
      </c>
      <c r="S67" s="11"/>
      <c r="T67" s="6"/>
      <c r="U67" s="28" t="str">
        <f>HYPERLINK("https://media.infra-m.ru/2084/2084490/cover/2084490.jpg", "Обложка")</f>
        <v>Обложка</v>
      </c>
      <c r="V67" s="28" t="str">
        <f>HYPERLINK("https://znanium.ru/catalog/product/2084490", "Ознакомиться")</f>
        <v>Ознакомиться</v>
      </c>
      <c r="W67" s="8" t="s">
        <v>466</v>
      </c>
      <c r="X67" s="6"/>
      <c r="Y67" s="6"/>
      <c r="Z67" s="6"/>
      <c r="AA67" s="6" t="s">
        <v>281</v>
      </c>
    </row>
    <row r="68" spans="1:27" s="4" customFormat="1" ht="51.95" customHeight="1">
      <c r="A68" s="5">
        <v>0</v>
      </c>
      <c r="B68" s="6" t="s">
        <v>467</v>
      </c>
      <c r="C68" s="7">
        <v>1354.9</v>
      </c>
      <c r="D68" s="8" t="s">
        <v>468</v>
      </c>
      <c r="E68" s="8" t="s">
        <v>469</v>
      </c>
      <c r="F68" s="8" t="s">
        <v>470</v>
      </c>
      <c r="G68" s="6" t="s">
        <v>52</v>
      </c>
      <c r="H68" s="6" t="s">
        <v>38</v>
      </c>
      <c r="I68" s="8" t="s">
        <v>262</v>
      </c>
      <c r="J68" s="9">
        <v>1</v>
      </c>
      <c r="K68" s="9">
        <v>302</v>
      </c>
      <c r="L68" s="9">
        <v>2023</v>
      </c>
      <c r="M68" s="8" t="s">
        <v>471</v>
      </c>
      <c r="N68" s="8" t="s">
        <v>41</v>
      </c>
      <c r="O68" s="8" t="s">
        <v>42</v>
      </c>
      <c r="P68" s="6" t="s">
        <v>43</v>
      </c>
      <c r="Q68" s="8" t="s">
        <v>264</v>
      </c>
      <c r="R68" s="10" t="s">
        <v>472</v>
      </c>
      <c r="S68" s="11" t="s">
        <v>473</v>
      </c>
      <c r="T68" s="6"/>
      <c r="U68" s="28" t="str">
        <f>HYPERLINK("https://media.infra-m.ru/1909/1909023/cover/1909023.jpg", "Обложка")</f>
        <v>Обложка</v>
      </c>
      <c r="V68" s="28" t="str">
        <f>HYPERLINK("https://znanium.ru/catalog/product/1906704", "Ознакомиться")</f>
        <v>Ознакомиться</v>
      </c>
      <c r="W68" s="8" t="s">
        <v>47</v>
      </c>
      <c r="X68" s="6"/>
      <c r="Y68" s="6"/>
      <c r="Z68" s="6"/>
      <c r="AA68" s="6" t="s">
        <v>48</v>
      </c>
    </row>
    <row r="69" spans="1:27" s="4" customFormat="1" ht="51.95" customHeight="1">
      <c r="A69" s="5">
        <v>0</v>
      </c>
      <c r="B69" s="6" t="s">
        <v>474</v>
      </c>
      <c r="C69" s="7">
        <v>1084.9000000000001</v>
      </c>
      <c r="D69" s="8" t="s">
        <v>475</v>
      </c>
      <c r="E69" s="8" t="s">
        <v>476</v>
      </c>
      <c r="F69" s="8" t="s">
        <v>477</v>
      </c>
      <c r="G69" s="6" t="s">
        <v>37</v>
      </c>
      <c r="H69" s="6" t="s">
        <v>255</v>
      </c>
      <c r="I69" s="8" t="s">
        <v>39</v>
      </c>
      <c r="J69" s="9">
        <v>1</v>
      </c>
      <c r="K69" s="9">
        <v>240</v>
      </c>
      <c r="L69" s="9">
        <v>2023</v>
      </c>
      <c r="M69" s="8" t="s">
        <v>478</v>
      </c>
      <c r="N69" s="8" t="s">
        <v>41</v>
      </c>
      <c r="O69" s="8" t="s">
        <v>42</v>
      </c>
      <c r="P69" s="6" t="s">
        <v>43</v>
      </c>
      <c r="Q69" s="8" t="s">
        <v>44</v>
      </c>
      <c r="R69" s="10" t="s">
        <v>152</v>
      </c>
      <c r="S69" s="11" t="s">
        <v>479</v>
      </c>
      <c r="T69" s="6"/>
      <c r="U69" s="28" t="str">
        <f>HYPERLINK("https://media.infra-m.ru/1913/1913689/cover/1913689.jpg", "Обложка")</f>
        <v>Обложка</v>
      </c>
      <c r="V69" s="28" t="str">
        <f>HYPERLINK("https://znanium.ru/catalog/product/899685", "Ознакомиться")</f>
        <v>Ознакомиться</v>
      </c>
      <c r="W69" s="8" t="s">
        <v>47</v>
      </c>
      <c r="X69" s="6"/>
      <c r="Y69" s="6"/>
      <c r="Z69" s="6"/>
      <c r="AA69" s="6" t="s">
        <v>163</v>
      </c>
    </row>
    <row r="70" spans="1:27" s="4" customFormat="1" ht="51.95" customHeight="1">
      <c r="A70" s="5">
        <v>0</v>
      </c>
      <c r="B70" s="6" t="s">
        <v>480</v>
      </c>
      <c r="C70" s="7">
        <v>2590</v>
      </c>
      <c r="D70" s="8" t="s">
        <v>481</v>
      </c>
      <c r="E70" s="8" t="s">
        <v>482</v>
      </c>
      <c r="F70" s="8" t="s">
        <v>483</v>
      </c>
      <c r="G70" s="6" t="s">
        <v>37</v>
      </c>
      <c r="H70" s="6" t="s">
        <v>38</v>
      </c>
      <c r="I70" s="8" t="s">
        <v>484</v>
      </c>
      <c r="J70" s="9">
        <v>1</v>
      </c>
      <c r="K70" s="9">
        <v>954</v>
      </c>
      <c r="L70" s="9">
        <v>2024</v>
      </c>
      <c r="M70" s="8" t="s">
        <v>485</v>
      </c>
      <c r="N70" s="8" t="s">
        <v>41</v>
      </c>
      <c r="O70" s="8" t="s">
        <v>42</v>
      </c>
      <c r="P70" s="6" t="s">
        <v>66</v>
      </c>
      <c r="Q70" s="8" t="s">
        <v>233</v>
      </c>
      <c r="R70" s="10" t="s">
        <v>152</v>
      </c>
      <c r="S70" s="11" t="s">
        <v>486</v>
      </c>
      <c r="T70" s="6" t="s">
        <v>145</v>
      </c>
      <c r="U70" s="28" t="str">
        <f>HYPERLINK("https://media.infra-m.ru/2081/2081758/cover/2081758.jpg", "Обложка")</f>
        <v>Обложка</v>
      </c>
      <c r="V70" s="28" t="str">
        <f>HYPERLINK("https://znanium.ru/catalog/product/2081758", "Ознакомиться")</f>
        <v>Ознакомиться</v>
      </c>
      <c r="W70" s="8" t="s">
        <v>162</v>
      </c>
      <c r="X70" s="6"/>
      <c r="Y70" s="6"/>
      <c r="Z70" s="6"/>
      <c r="AA70" s="6" t="s">
        <v>487</v>
      </c>
    </row>
    <row r="71" spans="1:27" s="4" customFormat="1" ht="51.95" customHeight="1">
      <c r="A71" s="5">
        <v>0</v>
      </c>
      <c r="B71" s="6" t="s">
        <v>488</v>
      </c>
      <c r="C71" s="7">
        <v>1650</v>
      </c>
      <c r="D71" s="8" t="s">
        <v>489</v>
      </c>
      <c r="E71" s="8" t="s">
        <v>490</v>
      </c>
      <c r="F71" s="8" t="s">
        <v>491</v>
      </c>
      <c r="G71" s="6" t="s">
        <v>52</v>
      </c>
      <c r="H71" s="6" t="s">
        <v>38</v>
      </c>
      <c r="I71" s="8" t="s">
        <v>262</v>
      </c>
      <c r="J71" s="9">
        <v>1</v>
      </c>
      <c r="K71" s="9">
        <v>357</v>
      </c>
      <c r="L71" s="9">
        <v>2023</v>
      </c>
      <c r="M71" s="8" t="s">
        <v>492</v>
      </c>
      <c r="N71" s="8" t="s">
        <v>41</v>
      </c>
      <c r="O71" s="8" t="s">
        <v>42</v>
      </c>
      <c r="P71" s="6" t="s">
        <v>66</v>
      </c>
      <c r="Q71" s="8" t="s">
        <v>264</v>
      </c>
      <c r="R71" s="10" t="s">
        <v>493</v>
      </c>
      <c r="S71" s="11" t="s">
        <v>494</v>
      </c>
      <c r="T71" s="6"/>
      <c r="U71" s="28" t="str">
        <f>HYPERLINK("https://media.infra-m.ru/1856/1856949/cover/1856949.jpg", "Обложка")</f>
        <v>Обложка</v>
      </c>
      <c r="V71" s="28" t="str">
        <f>HYPERLINK("https://znanium.ru/catalog/product/1856949", "Ознакомиться")</f>
        <v>Ознакомиться</v>
      </c>
      <c r="W71" s="8" t="s">
        <v>495</v>
      </c>
      <c r="X71" s="6"/>
      <c r="Y71" s="6"/>
      <c r="Z71" s="6"/>
      <c r="AA71" s="6" t="s">
        <v>205</v>
      </c>
    </row>
    <row r="72" spans="1:27" s="4" customFormat="1" ht="51.95" customHeight="1">
      <c r="A72" s="5">
        <v>0</v>
      </c>
      <c r="B72" s="6" t="s">
        <v>496</v>
      </c>
      <c r="C72" s="13">
        <v>544.9</v>
      </c>
      <c r="D72" s="8" t="s">
        <v>497</v>
      </c>
      <c r="E72" s="8" t="s">
        <v>498</v>
      </c>
      <c r="F72" s="8" t="s">
        <v>499</v>
      </c>
      <c r="G72" s="6" t="s">
        <v>117</v>
      </c>
      <c r="H72" s="6" t="s">
        <v>255</v>
      </c>
      <c r="I72" s="8" t="s">
        <v>39</v>
      </c>
      <c r="J72" s="9">
        <v>1</v>
      </c>
      <c r="K72" s="9">
        <v>146</v>
      </c>
      <c r="L72" s="9">
        <v>2020</v>
      </c>
      <c r="M72" s="8" t="s">
        <v>500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501</v>
      </c>
      <c r="S72" s="11" t="s">
        <v>257</v>
      </c>
      <c r="T72" s="6"/>
      <c r="U72" s="28" t="str">
        <f>HYPERLINK("https://media.infra-m.ru/1066/1066717/cover/1066717.jpg", "Обложка")</f>
        <v>Обложка</v>
      </c>
      <c r="V72" s="28" t="str">
        <f>HYPERLINK("https://znanium.ru/catalog/product/959386", "Ознакомиться")</f>
        <v>Ознакомиться</v>
      </c>
      <c r="W72" s="8" t="s">
        <v>502</v>
      </c>
      <c r="X72" s="6"/>
      <c r="Y72" s="6"/>
      <c r="Z72" s="6"/>
      <c r="AA72" s="6" t="s">
        <v>163</v>
      </c>
    </row>
    <row r="73" spans="1:27" s="4" customFormat="1" ht="51.95" customHeight="1">
      <c r="A73" s="5">
        <v>0</v>
      </c>
      <c r="B73" s="6" t="s">
        <v>503</v>
      </c>
      <c r="C73" s="13">
        <v>660</v>
      </c>
      <c r="D73" s="8" t="s">
        <v>504</v>
      </c>
      <c r="E73" s="8" t="s">
        <v>505</v>
      </c>
      <c r="F73" s="8" t="s">
        <v>506</v>
      </c>
      <c r="G73" s="6" t="s">
        <v>117</v>
      </c>
      <c r="H73" s="6" t="s">
        <v>38</v>
      </c>
      <c r="I73" s="8" t="s">
        <v>53</v>
      </c>
      <c r="J73" s="9">
        <v>1</v>
      </c>
      <c r="K73" s="9">
        <v>136</v>
      </c>
      <c r="L73" s="9">
        <v>2023</v>
      </c>
      <c r="M73" s="8" t="s">
        <v>507</v>
      </c>
      <c r="N73" s="8" t="s">
        <v>41</v>
      </c>
      <c r="O73" s="8" t="s">
        <v>42</v>
      </c>
      <c r="P73" s="6" t="s">
        <v>43</v>
      </c>
      <c r="Q73" s="8" t="s">
        <v>55</v>
      </c>
      <c r="R73" s="10" t="s">
        <v>100</v>
      </c>
      <c r="S73" s="11" t="s">
        <v>101</v>
      </c>
      <c r="T73" s="6"/>
      <c r="U73" s="28" t="str">
        <f>HYPERLINK("https://media.infra-m.ru/1877/1877512/cover/1877512.jpg", "Обложка")</f>
        <v>Обложка</v>
      </c>
      <c r="V73" s="28" t="str">
        <f>HYPERLINK("https://znanium.ru/catalog/product/1877512", "Ознакомиться")</f>
        <v>Ознакомиться</v>
      </c>
      <c r="W73" s="8" t="s">
        <v>47</v>
      </c>
      <c r="X73" s="6"/>
      <c r="Y73" s="6"/>
      <c r="Z73" s="6" t="s">
        <v>316</v>
      </c>
      <c r="AA73" s="6" t="s">
        <v>59</v>
      </c>
    </row>
    <row r="74" spans="1:27" s="4" customFormat="1" ht="51.95" customHeight="1">
      <c r="A74" s="5">
        <v>0</v>
      </c>
      <c r="B74" s="6" t="s">
        <v>508</v>
      </c>
      <c r="C74" s="13">
        <v>620</v>
      </c>
      <c r="D74" s="8" t="s">
        <v>509</v>
      </c>
      <c r="E74" s="8" t="s">
        <v>505</v>
      </c>
      <c r="F74" s="8" t="s">
        <v>510</v>
      </c>
      <c r="G74" s="6" t="s">
        <v>117</v>
      </c>
      <c r="H74" s="6" t="s">
        <v>38</v>
      </c>
      <c r="I74" s="8" t="s">
        <v>64</v>
      </c>
      <c r="J74" s="9">
        <v>1</v>
      </c>
      <c r="K74" s="9">
        <v>113</v>
      </c>
      <c r="L74" s="9">
        <v>2024</v>
      </c>
      <c r="M74" s="8" t="s">
        <v>511</v>
      </c>
      <c r="N74" s="8" t="s">
        <v>41</v>
      </c>
      <c r="O74" s="8" t="s">
        <v>42</v>
      </c>
      <c r="P74" s="6" t="s">
        <v>43</v>
      </c>
      <c r="Q74" s="8" t="s">
        <v>83</v>
      </c>
      <c r="R74" s="10" t="s">
        <v>450</v>
      </c>
      <c r="S74" s="11" t="s">
        <v>512</v>
      </c>
      <c r="T74" s="6"/>
      <c r="U74" s="28" t="str">
        <f>HYPERLINK("https://media.infra-m.ru/2083/2083147/cover/2083147.jpg", "Обложка")</f>
        <v>Обложка</v>
      </c>
      <c r="V74" s="28" t="str">
        <f>HYPERLINK("https://znanium.ru/catalog/product/2083147", "Ознакомиться")</f>
        <v>Ознакомиться</v>
      </c>
      <c r="W74" s="8" t="s">
        <v>47</v>
      </c>
      <c r="X74" s="6"/>
      <c r="Y74" s="6"/>
      <c r="Z74" s="6"/>
      <c r="AA74" s="6" t="s">
        <v>96</v>
      </c>
    </row>
    <row r="75" spans="1:27" s="4" customFormat="1" ht="51.95" customHeight="1">
      <c r="A75" s="5">
        <v>0</v>
      </c>
      <c r="B75" s="6" t="s">
        <v>513</v>
      </c>
      <c r="C75" s="13">
        <v>870</v>
      </c>
      <c r="D75" s="8" t="s">
        <v>514</v>
      </c>
      <c r="E75" s="8" t="s">
        <v>515</v>
      </c>
      <c r="F75" s="8" t="s">
        <v>516</v>
      </c>
      <c r="G75" s="6" t="s">
        <v>52</v>
      </c>
      <c r="H75" s="6" t="s">
        <v>38</v>
      </c>
      <c r="I75" s="8" t="s">
        <v>39</v>
      </c>
      <c r="J75" s="9">
        <v>1</v>
      </c>
      <c r="K75" s="9">
        <v>173</v>
      </c>
      <c r="L75" s="9">
        <v>2023</v>
      </c>
      <c r="M75" s="8" t="s">
        <v>517</v>
      </c>
      <c r="N75" s="8" t="s">
        <v>41</v>
      </c>
      <c r="O75" s="8" t="s">
        <v>42</v>
      </c>
      <c r="P75" s="6" t="s">
        <v>43</v>
      </c>
      <c r="Q75" s="8" t="s">
        <v>44</v>
      </c>
      <c r="R75" s="10" t="s">
        <v>518</v>
      </c>
      <c r="S75" s="11" t="s">
        <v>519</v>
      </c>
      <c r="T75" s="6"/>
      <c r="U75" s="28" t="str">
        <f>HYPERLINK("https://media.infra-m.ru/1899/1899771/cover/1899771.jpg", "Обложка")</f>
        <v>Обложка</v>
      </c>
      <c r="V75" s="28" t="str">
        <f>HYPERLINK("https://znanium.ru/catalog/product/1899771", "Ознакомиться")</f>
        <v>Ознакомиться</v>
      </c>
      <c r="W75" s="8" t="s">
        <v>520</v>
      </c>
      <c r="X75" s="6"/>
      <c r="Y75" s="6"/>
      <c r="Z75" s="6"/>
      <c r="AA75" s="6" t="s">
        <v>121</v>
      </c>
    </row>
    <row r="76" spans="1:27" s="4" customFormat="1" ht="44.1" customHeight="1">
      <c r="A76" s="5">
        <v>0</v>
      </c>
      <c r="B76" s="6" t="s">
        <v>521</v>
      </c>
      <c r="C76" s="13">
        <v>670</v>
      </c>
      <c r="D76" s="8" t="s">
        <v>522</v>
      </c>
      <c r="E76" s="8" t="s">
        <v>523</v>
      </c>
      <c r="F76" s="8" t="s">
        <v>524</v>
      </c>
      <c r="G76" s="6" t="s">
        <v>117</v>
      </c>
      <c r="H76" s="6" t="s">
        <v>38</v>
      </c>
      <c r="I76" s="8" t="s">
        <v>106</v>
      </c>
      <c r="J76" s="9">
        <v>1</v>
      </c>
      <c r="K76" s="9">
        <v>149</v>
      </c>
      <c r="L76" s="9">
        <v>2023</v>
      </c>
      <c r="M76" s="8" t="s">
        <v>525</v>
      </c>
      <c r="N76" s="8" t="s">
        <v>41</v>
      </c>
      <c r="O76" s="8" t="s">
        <v>42</v>
      </c>
      <c r="P76" s="6" t="s">
        <v>108</v>
      </c>
      <c r="Q76" s="8" t="s">
        <v>109</v>
      </c>
      <c r="R76" s="10" t="s">
        <v>526</v>
      </c>
      <c r="S76" s="11"/>
      <c r="T76" s="6"/>
      <c r="U76" s="28" t="str">
        <f>HYPERLINK("https://media.infra-m.ru/2038/2038319/cover/2038319.jpg", "Обложка")</f>
        <v>Обложка</v>
      </c>
      <c r="V76" s="28" t="str">
        <f>HYPERLINK("https://znanium.ru/catalog/product/2038319", "Ознакомиться")</f>
        <v>Ознакомиться</v>
      </c>
      <c r="W76" s="8" t="s">
        <v>162</v>
      </c>
      <c r="X76" s="6"/>
      <c r="Y76" s="6"/>
      <c r="Z76" s="6"/>
      <c r="AA76" s="6" t="s">
        <v>198</v>
      </c>
    </row>
    <row r="77" spans="1:27" s="4" customFormat="1" ht="42" customHeight="1">
      <c r="A77" s="5">
        <v>0</v>
      </c>
      <c r="B77" s="6" t="s">
        <v>527</v>
      </c>
      <c r="C77" s="7">
        <v>1130</v>
      </c>
      <c r="D77" s="8" t="s">
        <v>528</v>
      </c>
      <c r="E77" s="8" t="s">
        <v>529</v>
      </c>
      <c r="F77" s="8" t="s">
        <v>464</v>
      </c>
      <c r="G77" s="6" t="s">
        <v>52</v>
      </c>
      <c r="H77" s="6" t="s">
        <v>255</v>
      </c>
      <c r="I77" s="8"/>
      <c r="J77" s="9">
        <v>1</v>
      </c>
      <c r="K77" s="9">
        <v>240</v>
      </c>
      <c r="L77" s="9">
        <v>2024</v>
      </c>
      <c r="M77" s="8" t="s">
        <v>530</v>
      </c>
      <c r="N77" s="8" t="s">
        <v>41</v>
      </c>
      <c r="O77" s="8" t="s">
        <v>42</v>
      </c>
      <c r="P77" s="6" t="s">
        <v>66</v>
      </c>
      <c r="Q77" s="8" t="s">
        <v>44</v>
      </c>
      <c r="R77" s="10" t="s">
        <v>152</v>
      </c>
      <c r="S77" s="11"/>
      <c r="T77" s="6"/>
      <c r="U77" s="28" t="str">
        <f>HYPERLINK("https://media.infra-m.ru/2150/2150108/cover/2150108.jpg", "Обложка")</f>
        <v>Обложка</v>
      </c>
      <c r="V77" s="28" t="str">
        <f>HYPERLINK("https://znanium.ru/catalog/product/2150108", "Ознакомиться")</f>
        <v>Ознакомиться</v>
      </c>
      <c r="W77" s="8" t="s">
        <v>466</v>
      </c>
      <c r="X77" s="6"/>
      <c r="Y77" s="6"/>
      <c r="Z77" s="6"/>
      <c r="AA77" s="6" t="s">
        <v>281</v>
      </c>
    </row>
    <row r="78" spans="1:27" s="4" customFormat="1" ht="51.95" customHeight="1">
      <c r="A78" s="5">
        <v>0</v>
      </c>
      <c r="B78" s="6" t="s">
        <v>531</v>
      </c>
      <c r="C78" s="7">
        <v>2730</v>
      </c>
      <c r="D78" s="8" t="s">
        <v>532</v>
      </c>
      <c r="E78" s="8" t="s">
        <v>533</v>
      </c>
      <c r="F78" s="8" t="s">
        <v>534</v>
      </c>
      <c r="G78" s="6" t="s">
        <v>37</v>
      </c>
      <c r="H78" s="6" t="s">
        <v>38</v>
      </c>
      <c r="I78" s="8" t="s">
        <v>39</v>
      </c>
      <c r="J78" s="9">
        <v>1</v>
      </c>
      <c r="K78" s="9">
        <v>592</v>
      </c>
      <c r="L78" s="9">
        <v>2024</v>
      </c>
      <c r="M78" s="8" t="s">
        <v>535</v>
      </c>
      <c r="N78" s="8" t="s">
        <v>41</v>
      </c>
      <c r="O78" s="8" t="s">
        <v>42</v>
      </c>
      <c r="P78" s="6" t="s">
        <v>43</v>
      </c>
      <c r="Q78" s="8" t="s">
        <v>44</v>
      </c>
      <c r="R78" s="10" t="s">
        <v>152</v>
      </c>
      <c r="S78" s="11" t="s">
        <v>536</v>
      </c>
      <c r="T78" s="6" t="s">
        <v>145</v>
      </c>
      <c r="U78" s="28" t="str">
        <f>HYPERLINK("https://media.infra-m.ru/2126/2126825/cover/2126825.jpg", "Обложка")</f>
        <v>Обложка</v>
      </c>
      <c r="V78" s="28" t="str">
        <f>HYPERLINK("https://znanium.ru/catalog/product/2126825", "Ознакомиться")</f>
        <v>Ознакомиться</v>
      </c>
      <c r="W78" s="8" t="s">
        <v>111</v>
      </c>
      <c r="X78" s="6"/>
      <c r="Y78" s="6"/>
      <c r="Z78" s="6"/>
      <c r="AA78" s="6" t="s">
        <v>163</v>
      </c>
    </row>
    <row r="79" spans="1:27" s="4" customFormat="1" ht="42" customHeight="1">
      <c r="A79" s="5">
        <v>0</v>
      </c>
      <c r="B79" s="6" t="s">
        <v>537</v>
      </c>
      <c r="C79" s="7">
        <v>1024.9000000000001</v>
      </c>
      <c r="D79" s="8" t="s">
        <v>538</v>
      </c>
      <c r="E79" s="8" t="s">
        <v>539</v>
      </c>
      <c r="F79" s="8" t="s">
        <v>540</v>
      </c>
      <c r="G79" s="6" t="s">
        <v>37</v>
      </c>
      <c r="H79" s="6" t="s">
        <v>38</v>
      </c>
      <c r="I79" s="8" t="s">
        <v>53</v>
      </c>
      <c r="J79" s="9">
        <v>1</v>
      </c>
      <c r="K79" s="9">
        <v>352</v>
      </c>
      <c r="L79" s="9">
        <v>2018</v>
      </c>
      <c r="M79" s="8" t="s">
        <v>541</v>
      </c>
      <c r="N79" s="8" t="s">
        <v>41</v>
      </c>
      <c r="O79" s="8" t="s">
        <v>42</v>
      </c>
      <c r="P79" s="6" t="s">
        <v>66</v>
      </c>
      <c r="Q79" s="8" t="s">
        <v>55</v>
      </c>
      <c r="R79" s="10" t="s">
        <v>240</v>
      </c>
      <c r="S79" s="11"/>
      <c r="T79" s="6"/>
      <c r="U79" s="28" t="str">
        <f>HYPERLINK("https://media.infra-m.ru/0940/0940812/cover/940812.jpg", "Обложка")</f>
        <v>Обложка</v>
      </c>
      <c r="V79" s="28" t="str">
        <f>HYPERLINK("https://znanium.ru/catalog/product/2142821", "Ознакомиться")</f>
        <v>Ознакомиться</v>
      </c>
      <c r="W79" s="8" t="s">
        <v>47</v>
      </c>
      <c r="X79" s="6"/>
      <c r="Y79" s="6"/>
      <c r="Z79" s="6"/>
      <c r="AA79" s="6" t="s">
        <v>96</v>
      </c>
    </row>
    <row r="80" spans="1:27" s="4" customFormat="1" ht="51.95" customHeight="1">
      <c r="A80" s="5">
        <v>0</v>
      </c>
      <c r="B80" s="6" t="s">
        <v>542</v>
      </c>
      <c r="C80" s="7">
        <v>1660</v>
      </c>
      <c r="D80" s="8" t="s">
        <v>543</v>
      </c>
      <c r="E80" s="8" t="s">
        <v>544</v>
      </c>
      <c r="F80" s="8" t="s">
        <v>545</v>
      </c>
      <c r="G80" s="6" t="s">
        <v>52</v>
      </c>
      <c r="H80" s="6" t="s">
        <v>38</v>
      </c>
      <c r="I80" s="8" t="s">
        <v>53</v>
      </c>
      <c r="J80" s="9">
        <v>1</v>
      </c>
      <c r="K80" s="9">
        <v>352</v>
      </c>
      <c r="L80" s="9">
        <v>2024</v>
      </c>
      <c r="M80" s="8" t="s">
        <v>541</v>
      </c>
      <c r="N80" s="8" t="s">
        <v>41</v>
      </c>
      <c r="O80" s="8" t="s">
        <v>42</v>
      </c>
      <c r="P80" s="6" t="s">
        <v>66</v>
      </c>
      <c r="Q80" s="8" t="s">
        <v>55</v>
      </c>
      <c r="R80" s="10" t="s">
        <v>240</v>
      </c>
      <c r="S80" s="11" t="s">
        <v>546</v>
      </c>
      <c r="T80" s="6"/>
      <c r="U80" s="28" t="str">
        <f>HYPERLINK("https://media.infra-m.ru/2142/2142821/cover/2142821.jpg", "Обложка")</f>
        <v>Обложка</v>
      </c>
      <c r="V80" s="28" t="str">
        <f>HYPERLINK("https://znanium.ru/catalog/product/2142821", "Ознакомиться")</f>
        <v>Ознакомиться</v>
      </c>
      <c r="W80" s="8" t="s">
        <v>47</v>
      </c>
      <c r="X80" s="6"/>
      <c r="Y80" s="6"/>
      <c r="Z80" s="6"/>
      <c r="AA80" s="6" t="s">
        <v>147</v>
      </c>
    </row>
    <row r="81" spans="1:27" s="4" customFormat="1" ht="51.95" customHeight="1">
      <c r="A81" s="5">
        <v>0</v>
      </c>
      <c r="B81" s="6" t="s">
        <v>547</v>
      </c>
      <c r="C81" s="7">
        <v>1320</v>
      </c>
      <c r="D81" s="8" t="s">
        <v>548</v>
      </c>
      <c r="E81" s="8" t="s">
        <v>549</v>
      </c>
      <c r="F81" s="8" t="s">
        <v>550</v>
      </c>
      <c r="G81" s="6" t="s">
        <v>52</v>
      </c>
      <c r="H81" s="6" t="s">
        <v>38</v>
      </c>
      <c r="I81" s="8" t="s">
        <v>64</v>
      </c>
      <c r="J81" s="9">
        <v>1</v>
      </c>
      <c r="K81" s="9">
        <v>288</v>
      </c>
      <c r="L81" s="9">
        <v>2024</v>
      </c>
      <c r="M81" s="8" t="s">
        <v>551</v>
      </c>
      <c r="N81" s="8" t="s">
        <v>41</v>
      </c>
      <c r="O81" s="8" t="s">
        <v>42</v>
      </c>
      <c r="P81" s="6" t="s">
        <v>43</v>
      </c>
      <c r="Q81" s="8" t="s">
        <v>44</v>
      </c>
      <c r="R81" s="10" t="s">
        <v>450</v>
      </c>
      <c r="S81" s="11" t="s">
        <v>552</v>
      </c>
      <c r="T81" s="6" t="s">
        <v>145</v>
      </c>
      <c r="U81" s="28" t="str">
        <f>HYPERLINK("https://media.infra-m.ru/2134/2134468/cover/2134468.jpg", "Обложка")</f>
        <v>Обложка</v>
      </c>
      <c r="V81" s="28" t="str">
        <f>HYPERLINK("https://znanium.ru/catalog/product/2134468", "Ознакомиться")</f>
        <v>Ознакомиться</v>
      </c>
      <c r="W81" s="8" t="s">
        <v>47</v>
      </c>
      <c r="X81" s="6"/>
      <c r="Y81" s="6"/>
      <c r="Z81" s="6"/>
      <c r="AA81" s="6" t="s">
        <v>96</v>
      </c>
    </row>
    <row r="82" spans="1:27" s="4" customFormat="1" ht="51.95" customHeight="1">
      <c r="A82" s="5">
        <v>0</v>
      </c>
      <c r="B82" s="6" t="s">
        <v>553</v>
      </c>
      <c r="C82" s="7">
        <v>1260</v>
      </c>
      <c r="D82" s="8" t="s">
        <v>554</v>
      </c>
      <c r="E82" s="8" t="s">
        <v>555</v>
      </c>
      <c r="F82" s="8" t="s">
        <v>80</v>
      </c>
      <c r="G82" s="6" t="s">
        <v>37</v>
      </c>
      <c r="H82" s="6" t="s">
        <v>38</v>
      </c>
      <c r="I82" s="8" t="s">
        <v>81</v>
      </c>
      <c r="J82" s="9">
        <v>1</v>
      </c>
      <c r="K82" s="9">
        <v>259</v>
      </c>
      <c r="L82" s="9">
        <v>2024</v>
      </c>
      <c r="M82" s="8" t="s">
        <v>556</v>
      </c>
      <c r="N82" s="8" t="s">
        <v>41</v>
      </c>
      <c r="O82" s="8" t="s">
        <v>42</v>
      </c>
      <c r="P82" s="6" t="s">
        <v>43</v>
      </c>
      <c r="Q82" s="8" t="s">
        <v>44</v>
      </c>
      <c r="R82" s="10" t="s">
        <v>557</v>
      </c>
      <c r="S82" s="11" t="s">
        <v>558</v>
      </c>
      <c r="T82" s="6"/>
      <c r="U82" s="28" t="str">
        <f>HYPERLINK("https://media.infra-m.ru/2116/2116152/cover/2116152.jpg", "Обложка")</f>
        <v>Обложка</v>
      </c>
      <c r="V82" s="28" t="str">
        <f>HYPERLINK("https://znanium.ru/catalog/product/2116152", "Ознакомиться")</f>
        <v>Ознакомиться</v>
      </c>
      <c r="W82" s="8" t="s">
        <v>86</v>
      </c>
      <c r="X82" s="6" t="s">
        <v>559</v>
      </c>
      <c r="Y82" s="6"/>
      <c r="Z82" s="6"/>
      <c r="AA82" s="6" t="s">
        <v>88</v>
      </c>
    </row>
    <row r="83" spans="1:27" s="4" customFormat="1" ht="51.95" customHeight="1">
      <c r="A83" s="5">
        <v>0</v>
      </c>
      <c r="B83" s="6" t="s">
        <v>560</v>
      </c>
      <c r="C83" s="7">
        <v>1104</v>
      </c>
      <c r="D83" s="8" t="s">
        <v>561</v>
      </c>
      <c r="E83" s="8" t="s">
        <v>562</v>
      </c>
      <c r="F83" s="8" t="s">
        <v>563</v>
      </c>
      <c r="G83" s="6" t="s">
        <v>37</v>
      </c>
      <c r="H83" s="6" t="s">
        <v>38</v>
      </c>
      <c r="I83" s="8" t="s">
        <v>39</v>
      </c>
      <c r="J83" s="9">
        <v>1</v>
      </c>
      <c r="K83" s="9">
        <v>240</v>
      </c>
      <c r="L83" s="9">
        <v>2024</v>
      </c>
      <c r="M83" s="8" t="s">
        <v>564</v>
      </c>
      <c r="N83" s="8" t="s">
        <v>41</v>
      </c>
      <c r="O83" s="8" t="s">
        <v>42</v>
      </c>
      <c r="P83" s="6" t="s">
        <v>66</v>
      </c>
      <c r="Q83" s="8" t="s">
        <v>44</v>
      </c>
      <c r="R83" s="10" t="s">
        <v>565</v>
      </c>
      <c r="S83" s="11" t="s">
        <v>566</v>
      </c>
      <c r="T83" s="6"/>
      <c r="U83" s="28" t="str">
        <f>HYPERLINK("https://media.infra-m.ru/2126/2126331/cover/2126331.jpg", "Обложка")</f>
        <v>Обложка</v>
      </c>
      <c r="V83" s="28" t="str">
        <f>HYPERLINK("https://znanium.ru/catalog/product/1758030", "Ознакомиться")</f>
        <v>Ознакомиться</v>
      </c>
      <c r="W83" s="8" t="s">
        <v>47</v>
      </c>
      <c r="X83" s="6"/>
      <c r="Y83" s="6"/>
      <c r="Z83" s="6"/>
      <c r="AA83" s="6" t="s">
        <v>567</v>
      </c>
    </row>
    <row r="84" spans="1:27" s="4" customFormat="1" ht="51.95" customHeight="1">
      <c r="A84" s="5">
        <v>0</v>
      </c>
      <c r="B84" s="6" t="s">
        <v>568</v>
      </c>
      <c r="C84" s="7">
        <v>1730</v>
      </c>
      <c r="D84" s="8" t="s">
        <v>569</v>
      </c>
      <c r="E84" s="8" t="s">
        <v>570</v>
      </c>
      <c r="F84" s="8" t="s">
        <v>571</v>
      </c>
      <c r="G84" s="6" t="s">
        <v>52</v>
      </c>
      <c r="H84" s="6" t="s">
        <v>38</v>
      </c>
      <c r="I84" s="8" t="s">
        <v>64</v>
      </c>
      <c r="J84" s="9">
        <v>1</v>
      </c>
      <c r="K84" s="9">
        <v>368</v>
      </c>
      <c r="L84" s="9">
        <v>2024</v>
      </c>
      <c r="M84" s="8" t="s">
        <v>572</v>
      </c>
      <c r="N84" s="8" t="s">
        <v>41</v>
      </c>
      <c r="O84" s="8" t="s">
        <v>42</v>
      </c>
      <c r="P84" s="6" t="s">
        <v>66</v>
      </c>
      <c r="Q84" s="8" t="s">
        <v>83</v>
      </c>
      <c r="R84" s="10" t="s">
        <v>405</v>
      </c>
      <c r="S84" s="11" t="s">
        <v>573</v>
      </c>
      <c r="T84" s="6" t="s">
        <v>145</v>
      </c>
      <c r="U84" s="28" t="str">
        <f>HYPERLINK("https://media.infra-m.ru/2061/2061332/cover/2061332.jpg", "Обложка")</f>
        <v>Обложка</v>
      </c>
      <c r="V84" s="28" t="str">
        <f>HYPERLINK("https://znanium.ru/catalog/product/2061332", "Ознакомиться")</f>
        <v>Ознакомиться</v>
      </c>
      <c r="W84" s="8" t="s">
        <v>47</v>
      </c>
      <c r="X84" s="6"/>
      <c r="Y84" s="6"/>
      <c r="Z84" s="6"/>
      <c r="AA84" s="6" t="s">
        <v>163</v>
      </c>
    </row>
    <row r="85" spans="1:27" s="4" customFormat="1" ht="51.95" customHeight="1">
      <c r="A85" s="5">
        <v>0</v>
      </c>
      <c r="B85" s="6" t="s">
        <v>574</v>
      </c>
      <c r="C85" s="7">
        <v>1080</v>
      </c>
      <c r="D85" s="8" t="s">
        <v>575</v>
      </c>
      <c r="E85" s="8" t="s">
        <v>576</v>
      </c>
      <c r="F85" s="8" t="s">
        <v>577</v>
      </c>
      <c r="G85" s="6" t="s">
        <v>52</v>
      </c>
      <c r="H85" s="6" t="s">
        <v>38</v>
      </c>
      <c r="I85" s="8" t="s">
        <v>53</v>
      </c>
      <c r="J85" s="9">
        <v>1</v>
      </c>
      <c r="K85" s="9">
        <v>240</v>
      </c>
      <c r="L85" s="9">
        <v>2023</v>
      </c>
      <c r="M85" s="8" t="s">
        <v>578</v>
      </c>
      <c r="N85" s="8" t="s">
        <v>41</v>
      </c>
      <c r="O85" s="8" t="s">
        <v>42</v>
      </c>
      <c r="P85" s="6" t="s">
        <v>43</v>
      </c>
      <c r="Q85" s="8" t="s">
        <v>55</v>
      </c>
      <c r="R85" s="10" t="s">
        <v>579</v>
      </c>
      <c r="S85" s="11" t="s">
        <v>580</v>
      </c>
      <c r="T85" s="6" t="s">
        <v>145</v>
      </c>
      <c r="U85" s="28" t="str">
        <f>HYPERLINK("https://media.infra-m.ru/2033/2033501/cover/2033501.jpg", "Обложка")</f>
        <v>Обложка</v>
      </c>
      <c r="V85" s="28" t="str">
        <f>HYPERLINK("https://znanium.ru/catalog/product/2033501", "Ознакомиться")</f>
        <v>Ознакомиться</v>
      </c>
      <c r="W85" s="8" t="s">
        <v>47</v>
      </c>
      <c r="X85" s="6"/>
      <c r="Y85" s="6"/>
      <c r="Z85" s="6" t="s">
        <v>58</v>
      </c>
      <c r="AA85" s="6" t="s">
        <v>59</v>
      </c>
    </row>
    <row r="86" spans="1:27" s="4" customFormat="1" ht="51.95" customHeight="1">
      <c r="A86" s="5">
        <v>0</v>
      </c>
      <c r="B86" s="6" t="s">
        <v>581</v>
      </c>
      <c r="C86" s="7">
        <v>1080</v>
      </c>
      <c r="D86" s="8" t="s">
        <v>582</v>
      </c>
      <c r="E86" s="8" t="s">
        <v>576</v>
      </c>
      <c r="F86" s="8" t="s">
        <v>577</v>
      </c>
      <c r="G86" s="6" t="s">
        <v>52</v>
      </c>
      <c r="H86" s="6" t="s">
        <v>38</v>
      </c>
      <c r="I86" s="8" t="s">
        <v>39</v>
      </c>
      <c r="J86" s="9">
        <v>1</v>
      </c>
      <c r="K86" s="9">
        <v>240</v>
      </c>
      <c r="L86" s="9">
        <v>2023</v>
      </c>
      <c r="M86" s="8" t="s">
        <v>583</v>
      </c>
      <c r="N86" s="8" t="s">
        <v>41</v>
      </c>
      <c r="O86" s="8" t="s">
        <v>42</v>
      </c>
      <c r="P86" s="6" t="s">
        <v>43</v>
      </c>
      <c r="Q86" s="8" t="s">
        <v>44</v>
      </c>
      <c r="R86" s="10" t="s">
        <v>405</v>
      </c>
      <c r="S86" s="11" t="s">
        <v>584</v>
      </c>
      <c r="T86" s="6" t="s">
        <v>145</v>
      </c>
      <c r="U86" s="28" t="str">
        <f>HYPERLINK("https://media.infra-m.ru/1896/1896412/cover/1896412.jpg", "Обложка")</f>
        <v>Обложка</v>
      </c>
      <c r="V86" s="28" t="str">
        <f>HYPERLINK("https://znanium.ru/catalog/product/1896412", "Ознакомиться")</f>
        <v>Ознакомиться</v>
      </c>
      <c r="W86" s="8" t="s">
        <v>47</v>
      </c>
      <c r="X86" s="6"/>
      <c r="Y86" s="6"/>
      <c r="Z86" s="6"/>
      <c r="AA86" s="6" t="s">
        <v>96</v>
      </c>
    </row>
    <row r="87" spans="1:27" s="4" customFormat="1" ht="51.95" customHeight="1">
      <c r="A87" s="5">
        <v>0</v>
      </c>
      <c r="B87" s="6" t="s">
        <v>585</v>
      </c>
      <c r="C87" s="7">
        <v>2140</v>
      </c>
      <c r="D87" s="8" t="s">
        <v>586</v>
      </c>
      <c r="E87" s="8" t="s">
        <v>587</v>
      </c>
      <c r="F87" s="8" t="s">
        <v>588</v>
      </c>
      <c r="G87" s="6" t="s">
        <v>37</v>
      </c>
      <c r="H87" s="6" t="s">
        <v>38</v>
      </c>
      <c r="I87" s="8"/>
      <c r="J87" s="9">
        <v>1</v>
      </c>
      <c r="K87" s="9">
        <v>495</v>
      </c>
      <c r="L87" s="9">
        <v>2024</v>
      </c>
      <c r="M87" s="8" t="s">
        <v>589</v>
      </c>
      <c r="N87" s="8" t="s">
        <v>41</v>
      </c>
      <c r="O87" s="8" t="s">
        <v>42</v>
      </c>
      <c r="P87" s="6" t="s">
        <v>108</v>
      </c>
      <c r="Q87" s="8" t="s">
        <v>109</v>
      </c>
      <c r="R87" s="10" t="s">
        <v>590</v>
      </c>
      <c r="S87" s="11"/>
      <c r="T87" s="6"/>
      <c r="U87" s="28" t="str">
        <f>HYPERLINK("https://media.infra-m.ru/1939/1939037/cover/1939037.jpg", "Обложка")</f>
        <v>Обложка</v>
      </c>
      <c r="V87" s="28" t="str">
        <f>HYPERLINK("https://znanium.ru/catalog/product/1939037", "Ознакомиться")</f>
        <v>Ознакомиться</v>
      </c>
      <c r="W87" s="8" t="s">
        <v>591</v>
      </c>
      <c r="X87" s="6"/>
      <c r="Y87" s="6"/>
      <c r="Z87" s="6"/>
      <c r="AA87" s="6" t="s">
        <v>184</v>
      </c>
    </row>
    <row r="88" spans="1:27" s="4" customFormat="1" ht="51.95" customHeight="1">
      <c r="A88" s="5">
        <v>0</v>
      </c>
      <c r="B88" s="6" t="s">
        <v>592</v>
      </c>
      <c r="C88" s="7">
        <v>1290</v>
      </c>
      <c r="D88" s="8" t="s">
        <v>593</v>
      </c>
      <c r="E88" s="8" t="s">
        <v>594</v>
      </c>
      <c r="F88" s="8" t="s">
        <v>595</v>
      </c>
      <c r="G88" s="6" t="s">
        <v>37</v>
      </c>
      <c r="H88" s="6" t="s">
        <v>38</v>
      </c>
      <c r="I88" s="8" t="s">
        <v>81</v>
      </c>
      <c r="J88" s="9">
        <v>1</v>
      </c>
      <c r="K88" s="9">
        <v>277</v>
      </c>
      <c r="L88" s="9">
        <v>2023</v>
      </c>
      <c r="M88" s="8" t="s">
        <v>596</v>
      </c>
      <c r="N88" s="8" t="s">
        <v>41</v>
      </c>
      <c r="O88" s="8" t="s">
        <v>42</v>
      </c>
      <c r="P88" s="6" t="s">
        <v>43</v>
      </c>
      <c r="Q88" s="8" t="s">
        <v>83</v>
      </c>
      <c r="R88" s="10" t="s">
        <v>597</v>
      </c>
      <c r="S88" s="11" t="s">
        <v>598</v>
      </c>
      <c r="T88" s="6"/>
      <c r="U88" s="28" t="str">
        <f>HYPERLINK("https://media.infra-m.ru/2001/2001721/cover/2001721.jpg", "Обложка")</f>
        <v>Обложка</v>
      </c>
      <c r="V88" s="28" t="str">
        <f>HYPERLINK("https://znanium.ru/catalog/product/2001721", "Ознакомиться")</f>
        <v>Ознакомиться</v>
      </c>
      <c r="W88" s="8" t="s">
        <v>86</v>
      </c>
      <c r="X88" s="6" t="s">
        <v>599</v>
      </c>
      <c r="Y88" s="6"/>
      <c r="Z88" s="6"/>
      <c r="AA88" s="6" t="s">
        <v>184</v>
      </c>
    </row>
    <row r="89" spans="1:27" s="4" customFormat="1" ht="51.95" customHeight="1">
      <c r="A89" s="5">
        <v>0</v>
      </c>
      <c r="B89" s="6" t="s">
        <v>600</v>
      </c>
      <c r="C89" s="7">
        <v>1250</v>
      </c>
      <c r="D89" s="8" t="s">
        <v>601</v>
      </c>
      <c r="E89" s="8" t="s">
        <v>602</v>
      </c>
      <c r="F89" s="8" t="s">
        <v>491</v>
      </c>
      <c r="G89" s="6" t="s">
        <v>52</v>
      </c>
      <c r="H89" s="6" t="s">
        <v>38</v>
      </c>
      <c r="I89" s="8" t="s">
        <v>53</v>
      </c>
      <c r="J89" s="9">
        <v>1</v>
      </c>
      <c r="K89" s="9">
        <v>348</v>
      </c>
      <c r="L89" s="9">
        <v>2021</v>
      </c>
      <c r="M89" s="8" t="s">
        <v>603</v>
      </c>
      <c r="N89" s="8" t="s">
        <v>41</v>
      </c>
      <c r="O89" s="8" t="s">
        <v>42</v>
      </c>
      <c r="P89" s="6" t="s">
        <v>66</v>
      </c>
      <c r="Q89" s="8" t="s">
        <v>55</v>
      </c>
      <c r="R89" s="10" t="s">
        <v>604</v>
      </c>
      <c r="S89" s="11" t="s">
        <v>605</v>
      </c>
      <c r="T89" s="6"/>
      <c r="U89" s="28" t="str">
        <f>HYPERLINK("https://media.infra-m.ru/1227/1227657/cover/1227657.jpg", "Обложка")</f>
        <v>Обложка</v>
      </c>
      <c r="V89" s="28" t="str">
        <f>HYPERLINK("https://znanium.ru/catalog/product/1227657", "Ознакомиться")</f>
        <v>Ознакомиться</v>
      </c>
      <c r="W89" s="8" t="s">
        <v>495</v>
      </c>
      <c r="X89" s="6"/>
      <c r="Y89" s="6"/>
      <c r="Z89" s="6" t="s">
        <v>316</v>
      </c>
      <c r="AA89" s="6" t="s">
        <v>121</v>
      </c>
    </row>
    <row r="90" spans="1:27" s="4" customFormat="1" ht="51.95" customHeight="1">
      <c r="A90" s="5">
        <v>0</v>
      </c>
      <c r="B90" s="6" t="s">
        <v>606</v>
      </c>
      <c r="C90" s="7">
        <v>1640</v>
      </c>
      <c r="D90" s="8" t="s">
        <v>607</v>
      </c>
      <c r="E90" s="8" t="s">
        <v>602</v>
      </c>
      <c r="F90" s="8" t="s">
        <v>491</v>
      </c>
      <c r="G90" s="6" t="s">
        <v>52</v>
      </c>
      <c r="H90" s="6" t="s">
        <v>38</v>
      </c>
      <c r="I90" s="8" t="s">
        <v>64</v>
      </c>
      <c r="J90" s="9">
        <v>1</v>
      </c>
      <c r="K90" s="9">
        <v>348</v>
      </c>
      <c r="L90" s="9">
        <v>2024</v>
      </c>
      <c r="M90" s="8" t="s">
        <v>608</v>
      </c>
      <c r="N90" s="8" t="s">
        <v>41</v>
      </c>
      <c r="O90" s="8" t="s">
        <v>42</v>
      </c>
      <c r="P90" s="6" t="s">
        <v>66</v>
      </c>
      <c r="Q90" s="8" t="s">
        <v>83</v>
      </c>
      <c r="R90" s="10" t="s">
        <v>609</v>
      </c>
      <c r="S90" s="11" t="s">
        <v>610</v>
      </c>
      <c r="T90" s="6"/>
      <c r="U90" s="28" t="str">
        <f>HYPERLINK("https://media.infra-m.ru/2076/2076005/cover/2076005.jpg", "Обложка")</f>
        <v>Обложка</v>
      </c>
      <c r="V90" s="28" t="str">
        <f>HYPERLINK("https://znanium.ru/catalog/product/2076005", "Ознакомиться")</f>
        <v>Ознакомиться</v>
      </c>
      <c r="W90" s="8" t="s">
        <v>495</v>
      </c>
      <c r="X90" s="6"/>
      <c r="Y90" s="6"/>
      <c r="Z90" s="6"/>
      <c r="AA90" s="6" t="s">
        <v>205</v>
      </c>
    </row>
    <row r="91" spans="1:27" s="4" customFormat="1" ht="51.95" customHeight="1">
      <c r="A91" s="5">
        <v>0</v>
      </c>
      <c r="B91" s="6" t="s">
        <v>611</v>
      </c>
      <c r="C91" s="7">
        <v>1260</v>
      </c>
      <c r="D91" s="8" t="s">
        <v>612</v>
      </c>
      <c r="E91" s="8" t="s">
        <v>613</v>
      </c>
      <c r="F91" s="8" t="s">
        <v>614</v>
      </c>
      <c r="G91" s="6" t="s">
        <v>52</v>
      </c>
      <c r="H91" s="6" t="s">
        <v>38</v>
      </c>
      <c r="I91" s="8" t="s">
        <v>39</v>
      </c>
      <c r="J91" s="9">
        <v>1</v>
      </c>
      <c r="K91" s="9">
        <v>280</v>
      </c>
      <c r="L91" s="9">
        <v>2022</v>
      </c>
      <c r="M91" s="8" t="s">
        <v>615</v>
      </c>
      <c r="N91" s="8" t="s">
        <v>41</v>
      </c>
      <c r="O91" s="8" t="s">
        <v>42</v>
      </c>
      <c r="P91" s="6" t="s">
        <v>43</v>
      </c>
      <c r="Q91" s="8" t="s">
        <v>44</v>
      </c>
      <c r="R91" s="10" t="s">
        <v>616</v>
      </c>
      <c r="S91" s="11" t="s">
        <v>617</v>
      </c>
      <c r="T91" s="6"/>
      <c r="U91" s="28" t="str">
        <f>HYPERLINK("https://media.infra-m.ru/1948/1948186/cover/1948186.jpg", "Обложка")</f>
        <v>Обложка</v>
      </c>
      <c r="V91" s="28" t="str">
        <f>HYPERLINK("https://znanium.ru/catalog/product/1058986", "Ознакомиться")</f>
        <v>Ознакомиться</v>
      </c>
      <c r="W91" s="8" t="s">
        <v>618</v>
      </c>
      <c r="X91" s="6"/>
      <c r="Y91" s="6"/>
      <c r="Z91" s="6"/>
      <c r="AA91" s="6" t="s">
        <v>419</v>
      </c>
    </row>
    <row r="92" spans="1:27" s="4" customFormat="1" ht="51.95" customHeight="1">
      <c r="A92" s="5">
        <v>0</v>
      </c>
      <c r="B92" s="6" t="s">
        <v>619</v>
      </c>
      <c r="C92" s="7">
        <v>1070</v>
      </c>
      <c r="D92" s="8" t="s">
        <v>620</v>
      </c>
      <c r="E92" s="8" t="s">
        <v>613</v>
      </c>
      <c r="F92" s="8" t="s">
        <v>614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280</v>
      </c>
      <c r="L92" s="9">
        <v>2022</v>
      </c>
      <c r="M92" s="8" t="s">
        <v>621</v>
      </c>
      <c r="N92" s="8" t="s">
        <v>41</v>
      </c>
      <c r="O92" s="8" t="s">
        <v>42</v>
      </c>
      <c r="P92" s="6" t="s">
        <v>43</v>
      </c>
      <c r="Q92" s="8" t="s">
        <v>55</v>
      </c>
      <c r="R92" s="10" t="s">
        <v>622</v>
      </c>
      <c r="S92" s="11" t="s">
        <v>623</v>
      </c>
      <c r="T92" s="6"/>
      <c r="U92" s="28" t="str">
        <f>HYPERLINK("https://media.infra-m.ru/1850/1850708/cover/1850708.jpg", "Обложка")</f>
        <v>Обложка</v>
      </c>
      <c r="V92" s="28" t="str">
        <f>HYPERLINK("https://znanium.ru/catalog/product/1850708", "Ознакомиться")</f>
        <v>Ознакомиться</v>
      </c>
      <c r="W92" s="8" t="s">
        <v>618</v>
      </c>
      <c r="X92" s="6"/>
      <c r="Y92" s="6"/>
      <c r="Z92" s="6" t="s">
        <v>58</v>
      </c>
      <c r="AA92" s="6" t="s">
        <v>419</v>
      </c>
    </row>
    <row r="93" spans="1:27" s="4" customFormat="1" ht="51.95" customHeight="1">
      <c r="A93" s="5">
        <v>0</v>
      </c>
      <c r="B93" s="6" t="s">
        <v>624</v>
      </c>
      <c r="C93" s="13">
        <v>910</v>
      </c>
      <c r="D93" s="8" t="s">
        <v>625</v>
      </c>
      <c r="E93" s="8" t="s">
        <v>626</v>
      </c>
      <c r="F93" s="8" t="s">
        <v>627</v>
      </c>
      <c r="G93" s="6" t="s">
        <v>52</v>
      </c>
      <c r="H93" s="6" t="s">
        <v>38</v>
      </c>
      <c r="I93" s="8" t="s">
        <v>262</v>
      </c>
      <c r="J93" s="9">
        <v>1</v>
      </c>
      <c r="K93" s="9">
        <v>181</v>
      </c>
      <c r="L93" s="9">
        <v>2024</v>
      </c>
      <c r="M93" s="8" t="s">
        <v>628</v>
      </c>
      <c r="N93" s="8" t="s">
        <v>41</v>
      </c>
      <c r="O93" s="8" t="s">
        <v>42</v>
      </c>
      <c r="P93" s="6" t="s">
        <v>43</v>
      </c>
      <c r="Q93" s="8" t="s">
        <v>264</v>
      </c>
      <c r="R93" s="10" t="s">
        <v>629</v>
      </c>
      <c r="S93" s="11" t="s">
        <v>630</v>
      </c>
      <c r="T93" s="6"/>
      <c r="U93" s="28" t="str">
        <f>HYPERLINK("https://media.infra-m.ru/2111/2111400/cover/2111400.jpg", "Обложка")</f>
        <v>Обложка</v>
      </c>
      <c r="V93" s="28" t="str">
        <f>HYPERLINK("https://znanium.ru/catalog/product/2111400", "Ознакомиться")</f>
        <v>Ознакомиться</v>
      </c>
      <c r="W93" s="8" t="s">
        <v>631</v>
      </c>
      <c r="X93" s="6"/>
      <c r="Y93" s="6"/>
      <c r="Z93" s="6"/>
      <c r="AA93" s="6" t="s">
        <v>112</v>
      </c>
    </row>
    <row r="94" spans="1:27" s="4" customFormat="1" ht="51.95" customHeight="1">
      <c r="A94" s="5">
        <v>0</v>
      </c>
      <c r="B94" s="6" t="s">
        <v>632</v>
      </c>
      <c r="C94" s="7">
        <v>1980</v>
      </c>
      <c r="D94" s="8" t="s">
        <v>633</v>
      </c>
      <c r="E94" s="8" t="s">
        <v>634</v>
      </c>
      <c r="F94" s="8" t="s">
        <v>635</v>
      </c>
      <c r="G94" s="6" t="s">
        <v>37</v>
      </c>
      <c r="H94" s="6" t="s">
        <v>38</v>
      </c>
      <c r="I94" s="8" t="s">
        <v>39</v>
      </c>
      <c r="J94" s="9">
        <v>1</v>
      </c>
      <c r="K94" s="9">
        <v>439</v>
      </c>
      <c r="L94" s="9">
        <v>2023</v>
      </c>
      <c r="M94" s="8" t="s">
        <v>636</v>
      </c>
      <c r="N94" s="8" t="s">
        <v>41</v>
      </c>
      <c r="O94" s="8" t="s">
        <v>42</v>
      </c>
      <c r="P94" s="6" t="s">
        <v>43</v>
      </c>
      <c r="Q94" s="8" t="s">
        <v>44</v>
      </c>
      <c r="R94" s="10" t="s">
        <v>637</v>
      </c>
      <c r="S94" s="11" t="s">
        <v>638</v>
      </c>
      <c r="T94" s="6"/>
      <c r="U94" s="28" t="str">
        <f>HYPERLINK("https://media.infra-m.ru/1939/1939043/cover/1939043.jpg", "Обложка")</f>
        <v>Обложка</v>
      </c>
      <c r="V94" s="28" t="str">
        <f>HYPERLINK("https://znanium.ru/catalog/product/1939043", "Ознакомиться")</f>
        <v>Ознакомиться</v>
      </c>
      <c r="W94" s="8"/>
      <c r="X94" s="6"/>
      <c r="Y94" s="6"/>
      <c r="Z94" s="6"/>
      <c r="AA94" s="6" t="s">
        <v>112</v>
      </c>
    </row>
    <row r="95" spans="1:27" s="4" customFormat="1" ht="51.95" customHeight="1">
      <c r="A95" s="5">
        <v>0</v>
      </c>
      <c r="B95" s="6" t="s">
        <v>639</v>
      </c>
      <c r="C95" s="7">
        <v>1790</v>
      </c>
      <c r="D95" s="8" t="s">
        <v>640</v>
      </c>
      <c r="E95" s="8" t="s">
        <v>641</v>
      </c>
      <c r="F95" s="8" t="s">
        <v>642</v>
      </c>
      <c r="G95" s="6" t="s">
        <v>37</v>
      </c>
      <c r="H95" s="6" t="s">
        <v>38</v>
      </c>
      <c r="I95" s="8" t="s">
        <v>262</v>
      </c>
      <c r="J95" s="9">
        <v>1</v>
      </c>
      <c r="K95" s="9">
        <v>379</v>
      </c>
      <c r="L95" s="9">
        <v>2024</v>
      </c>
      <c r="M95" s="8" t="s">
        <v>643</v>
      </c>
      <c r="N95" s="8" t="s">
        <v>41</v>
      </c>
      <c r="O95" s="8" t="s">
        <v>42</v>
      </c>
      <c r="P95" s="6" t="s">
        <v>43</v>
      </c>
      <c r="Q95" s="8" t="s">
        <v>264</v>
      </c>
      <c r="R95" s="10" t="s">
        <v>644</v>
      </c>
      <c r="S95" s="11" t="s">
        <v>645</v>
      </c>
      <c r="T95" s="6"/>
      <c r="U95" s="28" t="str">
        <f>HYPERLINK("https://media.infra-m.ru/1946/1946239/cover/1946239.jpg", "Обложка")</f>
        <v>Обложка</v>
      </c>
      <c r="V95" s="28" t="str">
        <f>HYPERLINK("https://znanium.ru/catalog/product/1946239", "Ознакомиться")</f>
        <v>Ознакомиться</v>
      </c>
      <c r="W95" s="8" t="s">
        <v>47</v>
      </c>
      <c r="X95" s="6" t="s">
        <v>646</v>
      </c>
      <c r="Y95" s="6"/>
      <c r="Z95" s="6"/>
      <c r="AA95" s="6" t="s">
        <v>88</v>
      </c>
    </row>
    <row r="96" spans="1:27" s="4" customFormat="1" ht="51.95" customHeight="1">
      <c r="A96" s="5">
        <v>0</v>
      </c>
      <c r="B96" s="6" t="s">
        <v>647</v>
      </c>
      <c r="C96" s="7">
        <v>1190</v>
      </c>
      <c r="D96" s="8" t="s">
        <v>648</v>
      </c>
      <c r="E96" s="8" t="s">
        <v>649</v>
      </c>
      <c r="F96" s="8" t="s">
        <v>650</v>
      </c>
      <c r="G96" s="6" t="s">
        <v>52</v>
      </c>
      <c r="H96" s="6" t="s">
        <v>38</v>
      </c>
      <c r="I96" s="8" t="s">
        <v>64</v>
      </c>
      <c r="J96" s="9">
        <v>1</v>
      </c>
      <c r="K96" s="9">
        <v>264</v>
      </c>
      <c r="L96" s="9">
        <v>2023</v>
      </c>
      <c r="M96" s="8" t="s">
        <v>651</v>
      </c>
      <c r="N96" s="8" t="s">
        <v>41</v>
      </c>
      <c r="O96" s="8" t="s">
        <v>42</v>
      </c>
      <c r="P96" s="6" t="s">
        <v>66</v>
      </c>
      <c r="Q96" s="8" t="s">
        <v>83</v>
      </c>
      <c r="R96" s="10" t="s">
        <v>652</v>
      </c>
      <c r="S96" s="11" t="s">
        <v>653</v>
      </c>
      <c r="T96" s="6" t="s">
        <v>145</v>
      </c>
      <c r="U96" s="28" t="str">
        <f>HYPERLINK("https://media.infra-m.ru/2021/2021402/cover/2021402.jpg", "Обложка")</f>
        <v>Обложка</v>
      </c>
      <c r="V96" s="28" t="str">
        <f>HYPERLINK("https://znanium.ru/catalog/product/2021402", "Ознакомиться")</f>
        <v>Ознакомиться</v>
      </c>
      <c r="W96" s="8" t="s">
        <v>654</v>
      </c>
      <c r="X96" s="6"/>
      <c r="Y96" s="6"/>
      <c r="Z96" s="6"/>
      <c r="AA96" s="6" t="s">
        <v>96</v>
      </c>
    </row>
    <row r="97" spans="1:27" s="4" customFormat="1" ht="51.95" customHeight="1">
      <c r="A97" s="5">
        <v>0</v>
      </c>
      <c r="B97" s="6" t="s">
        <v>655</v>
      </c>
      <c r="C97" s="13">
        <v>554.9</v>
      </c>
      <c r="D97" s="8" t="s">
        <v>656</v>
      </c>
      <c r="E97" s="8" t="s">
        <v>657</v>
      </c>
      <c r="F97" s="8" t="s">
        <v>658</v>
      </c>
      <c r="G97" s="6" t="s">
        <v>117</v>
      </c>
      <c r="H97" s="6" t="s">
        <v>255</v>
      </c>
      <c r="I97" s="8" t="s">
        <v>39</v>
      </c>
      <c r="J97" s="9">
        <v>1</v>
      </c>
      <c r="K97" s="9">
        <v>144</v>
      </c>
      <c r="L97" s="9">
        <v>2022</v>
      </c>
      <c r="M97" s="8" t="s">
        <v>659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660</v>
      </c>
      <c r="S97" s="11" t="s">
        <v>661</v>
      </c>
      <c r="T97" s="6"/>
      <c r="U97" s="28" t="str">
        <f>HYPERLINK("https://media.infra-m.ru/1094/1094752/cover/1094752.jpg", "Обложка")</f>
        <v>Обложка</v>
      </c>
      <c r="V97" s="28" t="str">
        <f>HYPERLINK("https://znanium.ru/catalog/product/1002655", "Ознакомиться")</f>
        <v>Ознакомиться</v>
      </c>
      <c r="W97" s="8" t="s">
        <v>146</v>
      </c>
      <c r="X97" s="6"/>
      <c r="Y97" s="6"/>
      <c r="Z97" s="6"/>
      <c r="AA97" s="6" t="s">
        <v>48</v>
      </c>
    </row>
    <row r="98" spans="1:27" s="4" customFormat="1" ht="51.95" customHeight="1">
      <c r="A98" s="5">
        <v>0</v>
      </c>
      <c r="B98" s="6" t="s">
        <v>662</v>
      </c>
      <c r="C98" s="7">
        <v>1930</v>
      </c>
      <c r="D98" s="8" t="s">
        <v>663</v>
      </c>
      <c r="E98" s="8" t="s">
        <v>664</v>
      </c>
      <c r="F98" s="8" t="s">
        <v>665</v>
      </c>
      <c r="G98" s="6" t="s">
        <v>52</v>
      </c>
      <c r="H98" s="6" t="s">
        <v>38</v>
      </c>
      <c r="I98" s="8" t="s">
        <v>39</v>
      </c>
      <c r="J98" s="9">
        <v>1</v>
      </c>
      <c r="K98" s="9">
        <v>427</v>
      </c>
      <c r="L98" s="9">
        <v>2019</v>
      </c>
      <c r="M98" s="8" t="s">
        <v>666</v>
      </c>
      <c r="N98" s="8" t="s">
        <v>41</v>
      </c>
      <c r="O98" s="8" t="s">
        <v>42</v>
      </c>
      <c r="P98" s="6" t="s">
        <v>43</v>
      </c>
      <c r="Q98" s="8" t="s">
        <v>44</v>
      </c>
      <c r="R98" s="10" t="s">
        <v>637</v>
      </c>
      <c r="S98" s="11" t="s">
        <v>667</v>
      </c>
      <c r="T98" s="6" t="s">
        <v>145</v>
      </c>
      <c r="U98" s="28" t="str">
        <f>HYPERLINK("https://media.infra-m.ru/1948/1948226/cover/1948226.jpg", "Обложка")</f>
        <v>Обложка</v>
      </c>
      <c r="V98" s="28" t="str">
        <f>HYPERLINK("https://znanium.ru/catalog/product/1016393", "Ознакомиться")</f>
        <v>Ознакомиться</v>
      </c>
      <c r="W98" s="8" t="s">
        <v>47</v>
      </c>
      <c r="X98" s="6"/>
      <c r="Y98" s="6"/>
      <c r="Z98" s="6"/>
      <c r="AA98" s="6" t="s">
        <v>48</v>
      </c>
    </row>
    <row r="99" spans="1:27" s="4" customFormat="1" ht="51.95" customHeight="1">
      <c r="A99" s="5">
        <v>0</v>
      </c>
      <c r="B99" s="6" t="s">
        <v>668</v>
      </c>
      <c r="C99" s="13">
        <v>930</v>
      </c>
      <c r="D99" s="8" t="s">
        <v>669</v>
      </c>
      <c r="E99" s="8" t="s">
        <v>670</v>
      </c>
      <c r="F99" s="8" t="s">
        <v>671</v>
      </c>
      <c r="G99" s="6" t="s">
        <v>52</v>
      </c>
      <c r="H99" s="6" t="s">
        <v>38</v>
      </c>
      <c r="I99" s="8" t="s">
        <v>53</v>
      </c>
      <c r="J99" s="9">
        <v>1</v>
      </c>
      <c r="K99" s="9">
        <v>208</v>
      </c>
      <c r="L99" s="9">
        <v>2023</v>
      </c>
      <c r="M99" s="8" t="s">
        <v>672</v>
      </c>
      <c r="N99" s="8" t="s">
        <v>41</v>
      </c>
      <c r="O99" s="8" t="s">
        <v>42</v>
      </c>
      <c r="P99" s="6" t="s">
        <v>43</v>
      </c>
      <c r="Q99" s="8" t="s">
        <v>55</v>
      </c>
      <c r="R99" s="10" t="s">
        <v>673</v>
      </c>
      <c r="S99" s="11" t="s">
        <v>674</v>
      </c>
      <c r="T99" s="6"/>
      <c r="U99" s="28" t="str">
        <f>HYPERLINK("https://media.infra-m.ru/1910/1910858/cover/1910858.jpg", "Обложка")</f>
        <v>Обложка</v>
      </c>
      <c r="V99" s="28" t="str">
        <f>HYPERLINK("https://znanium.ru/catalog/product/1910858", "Ознакомиться")</f>
        <v>Ознакомиться</v>
      </c>
      <c r="W99" s="8" t="s">
        <v>47</v>
      </c>
      <c r="X99" s="6"/>
      <c r="Y99" s="6"/>
      <c r="Z99" s="6" t="s">
        <v>58</v>
      </c>
      <c r="AA99" s="6" t="s">
        <v>112</v>
      </c>
    </row>
    <row r="100" spans="1:27" s="4" customFormat="1" ht="51.95" customHeight="1">
      <c r="A100" s="5">
        <v>0</v>
      </c>
      <c r="B100" s="6" t="s">
        <v>675</v>
      </c>
      <c r="C100" s="13">
        <v>960</v>
      </c>
      <c r="D100" s="8" t="s">
        <v>676</v>
      </c>
      <c r="E100" s="8" t="s">
        <v>670</v>
      </c>
      <c r="F100" s="8" t="s">
        <v>677</v>
      </c>
      <c r="G100" s="6" t="s">
        <v>52</v>
      </c>
      <c r="H100" s="6" t="s">
        <v>38</v>
      </c>
      <c r="I100" s="8" t="s">
        <v>39</v>
      </c>
      <c r="J100" s="9">
        <v>1</v>
      </c>
      <c r="K100" s="9">
        <v>208</v>
      </c>
      <c r="L100" s="9">
        <v>2023</v>
      </c>
      <c r="M100" s="8" t="s">
        <v>678</v>
      </c>
      <c r="N100" s="8" t="s">
        <v>41</v>
      </c>
      <c r="O100" s="8" t="s">
        <v>42</v>
      </c>
      <c r="P100" s="6" t="s">
        <v>43</v>
      </c>
      <c r="Q100" s="8" t="s">
        <v>44</v>
      </c>
      <c r="R100" s="10" t="s">
        <v>679</v>
      </c>
      <c r="S100" s="11" t="s">
        <v>680</v>
      </c>
      <c r="T100" s="6"/>
      <c r="U100" s="28" t="str">
        <f>HYPERLINK("https://media.infra-m.ru/2125/2125019/cover/2125019.jpg", "Обложка")</f>
        <v>Обложка</v>
      </c>
      <c r="V100" s="28" t="str">
        <f>HYPERLINK("https://znanium.ru/catalog/product/2125019", "Ознакомиться")</f>
        <v>Ознакомиться</v>
      </c>
      <c r="W100" s="8" t="s">
        <v>47</v>
      </c>
      <c r="X100" s="6"/>
      <c r="Y100" s="6"/>
      <c r="Z100" s="6"/>
      <c r="AA100" s="6" t="s">
        <v>163</v>
      </c>
    </row>
    <row r="101" spans="1:27" s="4" customFormat="1" ht="51.95" customHeight="1">
      <c r="A101" s="5">
        <v>0</v>
      </c>
      <c r="B101" s="6" t="s">
        <v>681</v>
      </c>
      <c r="C101" s="7">
        <v>2744</v>
      </c>
      <c r="D101" s="8" t="s">
        <v>682</v>
      </c>
      <c r="E101" s="8" t="s">
        <v>683</v>
      </c>
      <c r="F101" s="8" t="s">
        <v>684</v>
      </c>
      <c r="G101" s="6" t="s">
        <v>52</v>
      </c>
      <c r="H101" s="6" t="s">
        <v>38</v>
      </c>
      <c r="I101" s="8" t="s">
        <v>39</v>
      </c>
      <c r="J101" s="9">
        <v>1</v>
      </c>
      <c r="K101" s="9">
        <v>585</v>
      </c>
      <c r="L101" s="9">
        <v>2024</v>
      </c>
      <c r="M101" s="8" t="s">
        <v>685</v>
      </c>
      <c r="N101" s="8" t="s">
        <v>41</v>
      </c>
      <c r="O101" s="8" t="s">
        <v>42</v>
      </c>
      <c r="P101" s="6" t="s">
        <v>66</v>
      </c>
      <c r="Q101" s="8" t="s">
        <v>44</v>
      </c>
      <c r="R101" s="10" t="s">
        <v>501</v>
      </c>
      <c r="S101" s="11" t="s">
        <v>686</v>
      </c>
      <c r="T101" s="6"/>
      <c r="U101" s="28" t="str">
        <f>HYPERLINK("https://media.infra-m.ru/2138/2138284/cover/2138284.jpg", "Обложка")</f>
        <v>Обложка</v>
      </c>
      <c r="V101" s="28" t="str">
        <f>HYPERLINK("https://znanium.ru/catalog/product/1941762", "Ознакомиться")</f>
        <v>Ознакомиться</v>
      </c>
      <c r="W101" s="8" t="s">
        <v>687</v>
      </c>
      <c r="X101" s="6"/>
      <c r="Y101" s="6"/>
      <c r="Z101" s="6"/>
      <c r="AA101" s="6" t="s">
        <v>198</v>
      </c>
    </row>
    <row r="102" spans="1:27" s="4" customFormat="1" ht="51.95" customHeight="1">
      <c r="A102" s="5">
        <v>0</v>
      </c>
      <c r="B102" s="6" t="s">
        <v>688</v>
      </c>
      <c r="C102" s="7">
        <v>1720</v>
      </c>
      <c r="D102" s="8" t="s">
        <v>689</v>
      </c>
      <c r="E102" s="8" t="s">
        <v>690</v>
      </c>
      <c r="F102" s="8" t="s">
        <v>691</v>
      </c>
      <c r="G102" s="6" t="s">
        <v>52</v>
      </c>
      <c r="H102" s="6" t="s">
        <v>38</v>
      </c>
      <c r="I102" s="8" t="s">
        <v>39</v>
      </c>
      <c r="J102" s="9">
        <v>1</v>
      </c>
      <c r="K102" s="9">
        <v>383</v>
      </c>
      <c r="L102" s="9">
        <v>2023</v>
      </c>
      <c r="M102" s="8" t="s">
        <v>692</v>
      </c>
      <c r="N102" s="8" t="s">
        <v>41</v>
      </c>
      <c r="O102" s="8" t="s">
        <v>42</v>
      </c>
      <c r="P102" s="6" t="s">
        <v>66</v>
      </c>
      <c r="Q102" s="8" t="s">
        <v>44</v>
      </c>
      <c r="R102" s="10" t="s">
        <v>450</v>
      </c>
      <c r="S102" s="11" t="s">
        <v>693</v>
      </c>
      <c r="T102" s="6"/>
      <c r="U102" s="28" t="str">
        <f>HYPERLINK("https://media.infra-m.ru/1920/1920333/cover/1920333.jpg", "Обложка")</f>
        <v>Обложка</v>
      </c>
      <c r="V102" s="28" t="str">
        <f>HYPERLINK("https://znanium.ru/catalog/product/1920333", "Ознакомиться")</f>
        <v>Ознакомиться</v>
      </c>
      <c r="W102" s="8" t="s">
        <v>694</v>
      </c>
      <c r="X102" s="6"/>
      <c r="Y102" s="6"/>
      <c r="Z102" s="6"/>
      <c r="AA102" s="6" t="s">
        <v>163</v>
      </c>
    </row>
    <row r="103" spans="1:27" s="4" customFormat="1" ht="51.95" customHeight="1">
      <c r="A103" s="5">
        <v>0</v>
      </c>
      <c r="B103" s="6" t="s">
        <v>695</v>
      </c>
      <c r="C103" s="7">
        <v>1720</v>
      </c>
      <c r="D103" s="8" t="s">
        <v>696</v>
      </c>
      <c r="E103" s="8" t="s">
        <v>690</v>
      </c>
      <c r="F103" s="8" t="s">
        <v>691</v>
      </c>
      <c r="G103" s="6" t="s">
        <v>52</v>
      </c>
      <c r="H103" s="6" t="s">
        <v>38</v>
      </c>
      <c r="I103" s="8" t="s">
        <v>53</v>
      </c>
      <c r="J103" s="9">
        <v>1</v>
      </c>
      <c r="K103" s="9">
        <v>383</v>
      </c>
      <c r="L103" s="9">
        <v>2023</v>
      </c>
      <c r="M103" s="8" t="s">
        <v>697</v>
      </c>
      <c r="N103" s="8" t="s">
        <v>41</v>
      </c>
      <c r="O103" s="8" t="s">
        <v>42</v>
      </c>
      <c r="P103" s="6" t="s">
        <v>66</v>
      </c>
      <c r="Q103" s="8" t="s">
        <v>55</v>
      </c>
      <c r="R103" s="10" t="s">
        <v>455</v>
      </c>
      <c r="S103" s="11" t="s">
        <v>698</v>
      </c>
      <c r="T103" s="6"/>
      <c r="U103" s="28" t="str">
        <f>HYPERLINK("https://media.infra-m.ru/2002/2002573/cover/2002573.jpg", "Обложка")</f>
        <v>Обложка</v>
      </c>
      <c r="V103" s="28" t="str">
        <f>HYPERLINK("https://znanium.ru/catalog/product/2002573", "Ознакомиться")</f>
        <v>Ознакомиться</v>
      </c>
      <c r="W103" s="8" t="s">
        <v>694</v>
      </c>
      <c r="X103" s="6"/>
      <c r="Y103" s="6"/>
      <c r="Z103" s="6" t="s">
        <v>58</v>
      </c>
      <c r="AA103" s="6" t="s">
        <v>112</v>
      </c>
    </row>
    <row r="104" spans="1:27" s="4" customFormat="1" ht="51.95" customHeight="1">
      <c r="A104" s="5">
        <v>0</v>
      </c>
      <c r="B104" s="6" t="s">
        <v>699</v>
      </c>
      <c r="C104" s="13">
        <v>880</v>
      </c>
      <c r="D104" s="8" t="s">
        <v>700</v>
      </c>
      <c r="E104" s="8" t="s">
        <v>701</v>
      </c>
      <c r="F104" s="8" t="s">
        <v>181</v>
      </c>
      <c r="G104" s="6" t="s">
        <v>52</v>
      </c>
      <c r="H104" s="6" t="s">
        <v>38</v>
      </c>
      <c r="I104" s="8" t="s">
        <v>39</v>
      </c>
      <c r="J104" s="9">
        <v>1</v>
      </c>
      <c r="K104" s="9">
        <v>230</v>
      </c>
      <c r="L104" s="9">
        <v>2022</v>
      </c>
      <c r="M104" s="8" t="s">
        <v>702</v>
      </c>
      <c r="N104" s="8" t="s">
        <v>41</v>
      </c>
      <c r="O104" s="8" t="s">
        <v>42</v>
      </c>
      <c r="P104" s="6" t="s">
        <v>703</v>
      </c>
      <c r="Q104" s="8" t="s">
        <v>44</v>
      </c>
      <c r="R104" s="10" t="s">
        <v>128</v>
      </c>
      <c r="S104" s="11" t="s">
        <v>704</v>
      </c>
      <c r="T104" s="6"/>
      <c r="U104" s="28" t="str">
        <f>HYPERLINK("https://media.infra-m.ru/1150/1150302/cover/1150302.jpg", "Обложка")</f>
        <v>Обложка</v>
      </c>
      <c r="V104" s="28" t="str">
        <f>HYPERLINK("https://znanium.ru/catalog/product/1150302", "Ознакомиться")</f>
        <v>Ознакомиться</v>
      </c>
      <c r="W104" s="8" t="s">
        <v>47</v>
      </c>
      <c r="X104" s="6"/>
      <c r="Y104" s="6"/>
      <c r="Z104" s="6"/>
      <c r="AA104" s="6" t="s">
        <v>705</v>
      </c>
    </row>
    <row r="105" spans="1:27" s="4" customFormat="1" ht="51.95" customHeight="1">
      <c r="A105" s="5">
        <v>0</v>
      </c>
      <c r="B105" s="6" t="s">
        <v>706</v>
      </c>
      <c r="C105" s="13">
        <v>714.9</v>
      </c>
      <c r="D105" s="8" t="s">
        <v>707</v>
      </c>
      <c r="E105" s="8" t="s">
        <v>708</v>
      </c>
      <c r="F105" s="8" t="s">
        <v>181</v>
      </c>
      <c r="G105" s="6" t="s">
        <v>37</v>
      </c>
      <c r="H105" s="6" t="s">
        <v>38</v>
      </c>
      <c r="I105" s="8" t="s">
        <v>39</v>
      </c>
      <c r="J105" s="9">
        <v>1</v>
      </c>
      <c r="K105" s="9">
        <v>190</v>
      </c>
      <c r="L105" s="9">
        <v>2020</v>
      </c>
      <c r="M105" s="8" t="s">
        <v>709</v>
      </c>
      <c r="N105" s="8" t="s">
        <v>41</v>
      </c>
      <c r="O105" s="8" t="s">
        <v>42</v>
      </c>
      <c r="P105" s="6" t="s">
        <v>703</v>
      </c>
      <c r="Q105" s="8" t="s">
        <v>44</v>
      </c>
      <c r="R105" s="10" t="s">
        <v>128</v>
      </c>
      <c r="S105" s="11" t="s">
        <v>704</v>
      </c>
      <c r="T105" s="6"/>
      <c r="U105" s="28" t="str">
        <f>HYPERLINK("https://media.infra-m.ru/1150/1150301/cover/1150301.jpg", "Обложка")</f>
        <v>Обложка</v>
      </c>
      <c r="V105" s="28" t="str">
        <f>HYPERLINK("https://znanium.ru/catalog/product/1150302", "Ознакомиться")</f>
        <v>Ознакомиться</v>
      </c>
      <c r="W105" s="8" t="s">
        <v>47</v>
      </c>
      <c r="X105" s="6"/>
      <c r="Y105" s="6"/>
      <c r="Z105" s="6"/>
      <c r="AA105" s="6" t="s">
        <v>59</v>
      </c>
    </row>
    <row r="106" spans="1:27" s="4" customFormat="1" ht="51.95" customHeight="1">
      <c r="A106" s="5">
        <v>0</v>
      </c>
      <c r="B106" s="6" t="s">
        <v>710</v>
      </c>
      <c r="C106" s="13">
        <v>790</v>
      </c>
      <c r="D106" s="8" t="s">
        <v>711</v>
      </c>
      <c r="E106" s="8" t="s">
        <v>712</v>
      </c>
      <c r="F106" s="8" t="s">
        <v>181</v>
      </c>
      <c r="G106" s="6" t="s">
        <v>117</v>
      </c>
      <c r="H106" s="6" t="s">
        <v>38</v>
      </c>
      <c r="I106" s="8" t="s">
        <v>64</v>
      </c>
      <c r="J106" s="9">
        <v>1</v>
      </c>
      <c r="K106" s="9">
        <v>172</v>
      </c>
      <c r="L106" s="9">
        <v>2024</v>
      </c>
      <c r="M106" s="8" t="s">
        <v>713</v>
      </c>
      <c r="N106" s="8" t="s">
        <v>41</v>
      </c>
      <c r="O106" s="8" t="s">
        <v>42</v>
      </c>
      <c r="P106" s="6" t="s">
        <v>43</v>
      </c>
      <c r="Q106" s="8" t="s">
        <v>44</v>
      </c>
      <c r="R106" s="10" t="s">
        <v>714</v>
      </c>
      <c r="S106" s="11" t="s">
        <v>715</v>
      </c>
      <c r="T106" s="6" t="s">
        <v>145</v>
      </c>
      <c r="U106" s="28" t="str">
        <f>HYPERLINK("https://media.infra-m.ru/2099/2099076/cover/2099076.jpg", "Обложка")</f>
        <v>Обложка</v>
      </c>
      <c r="V106" s="28" t="str">
        <f>HYPERLINK("https://znanium.ru/catalog/product/2099076", "Ознакомиться")</f>
        <v>Ознакомиться</v>
      </c>
      <c r="W106" s="8" t="s">
        <v>47</v>
      </c>
      <c r="X106" s="6"/>
      <c r="Y106" s="6"/>
      <c r="Z106" s="6"/>
      <c r="AA106" s="6" t="s">
        <v>96</v>
      </c>
    </row>
    <row r="107" spans="1:27" s="4" customFormat="1" ht="51.95" customHeight="1">
      <c r="A107" s="5">
        <v>0</v>
      </c>
      <c r="B107" s="6" t="s">
        <v>716</v>
      </c>
      <c r="C107" s="7">
        <v>1730</v>
      </c>
      <c r="D107" s="8" t="s">
        <v>717</v>
      </c>
      <c r="E107" s="8" t="s">
        <v>718</v>
      </c>
      <c r="F107" s="8" t="s">
        <v>181</v>
      </c>
      <c r="G107" s="6" t="s">
        <v>37</v>
      </c>
      <c r="H107" s="6" t="s">
        <v>38</v>
      </c>
      <c r="I107" s="8" t="s">
        <v>64</v>
      </c>
      <c r="J107" s="14">
        <v>0</v>
      </c>
      <c r="K107" s="9">
        <v>368</v>
      </c>
      <c r="L107" s="9">
        <v>2024</v>
      </c>
      <c r="M107" s="8" t="s">
        <v>719</v>
      </c>
      <c r="N107" s="8" t="s">
        <v>41</v>
      </c>
      <c r="O107" s="8" t="s">
        <v>42</v>
      </c>
      <c r="P107" s="6" t="s">
        <v>66</v>
      </c>
      <c r="Q107" s="8" t="s">
        <v>83</v>
      </c>
      <c r="R107" s="10" t="s">
        <v>720</v>
      </c>
      <c r="S107" s="11" t="s">
        <v>721</v>
      </c>
      <c r="T107" s="6"/>
      <c r="U107" s="28" t="str">
        <f>HYPERLINK("https://media.infra-m.ru/2122/2122973/cover/2122973.jpg", "Обложка")</f>
        <v>Обложка</v>
      </c>
      <c r="V107" s="28" t="str">
        <f>HYPERLINK("https://znanium.ru/catalog/product/2122973", "Ознакомиться")</f>
        <v>Ознакомиться</v>
      </c>
      <c r="W107" s="8" t="s">
        <v>47</v>
      </c>
      <c r="X107" s="6" t="s">
        <v>722</v>
      </c>
      <c r="Y107" s="6"/>
      <c r="Z107" s="6"/>
      <c r="AA107" s="6" t="s">
        <v>723</v>
      </c>
    </row>
    <row r="108" spans="1:27" s="4" customFormat="1" ht="42" customHeight="1">
      <c r="A108" s="5">
        <v>0</v>
      </c>
      <c r="B108" s="6" t="s">
        <v>724</v>
      </c>
      <c r="C108" s="7">
        <v>1254</v>
      </c>
      <c r="D108" s="8" t="s">
        <v>725</v>
      </c>
      <c r="E108" s="8" t="s">
        <v>726</v>
      </c>
      <c r="F108" s="8" t="s">
        <v>727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272</v>
      </c>
      <c r="L108" s="9">
        <v>2024</v>
      </c>
      <c r="M108" s="8" t="s">
        <v>728</v>
      </c>
      <c r="N108" s="8" t="s">
        <v>41</v>
      </c>
      <c r="O108" s="8" t="s">
        <v>42</v>
      </c>
      <c r="P108" s="6" t="s">
        <v>66</v>
      </c>
      <c r="Q108" s="8" t="s">
        <v>44</v>
      </c>
      <c r="R108" s="10" t="s">
        <v>729</v>
      </c>
      <c r="S108" s="11"/>
      <c r="T108" s="6"/>
      <c r="U108" s="28" t="str">
        <f>HYPERLINK("https://media.infra-m.ru/2083/2083867/cover/2083867.jpg", "Обложка")</f>
        <v>Обложка</v>
      </c>
      <c r="V108" s="28" t="str">
        <f>HYPERLINK("https://znanium.ru/catalog/product/1009634", "Ознакомиться")</f>
        <v>Ознакомиться</v>
      </c>
      <c r="W108" s="8" t="s">
        <v>111</v>
      </c>
      <c r="X108" s="6"/>
      <c r="Y108" s="6"/>
      <c r="Z108" s="6"/>
      <c r="AA108" s="6" t="s">
        <v>96</v>
      </c>
    </row>
    <row r="109" spans="1:27" s="4" customFormat="1" ht="42" customHeight="1">
      <c r="A109" s="5">
        <v>0</v>
      </c>
      <c r="B109" s="6" t="s">
        <v>730</v>
      </c>
      <c r="C109" s="7">
        <v>1034</v>
      </c>
      <c r="D109" s="8" t="s">
        <v>731</v>
      </c>
      <c r="E109" s="8" t="s">
        <v>732</v>
      </c>
      <c r="F109" s="8" t="s">
        <v>733</v>
      </c>
      <c r="G109" s="6" t="s">
        <v>52</v>
      </c>
      <c r="H109" s="6" t="s">
        <v>38</v>
      </c>
      <c r="I109" s="8" t="s">
        <v>106</v>
      </c>
      <c r="J109" s="9">
        <v>1</v>
      </c>
      <c r="K109" s="9">
        <v>224</v>
      </c>
      <c r="L109" s="9">
        <v>2024</v>
      </c>
      <c r="M109" s="8" t="s">
        <v>734</v>
      </c>
      <c r="N109" s="8" t="s">
        <v>41</v>
      </c>
      <c r="O109" s="8" t="s">
        <v>42</v>
      </c>
      <c r="P109" s="6" t="s">
        <v>108</v>
      </c>
      <c r="Q109" s="8" t="s">
        <v>109</v>
      </c>
      <c r="R109" s="10" t="s">
        <v>735</v>
      </c>
      <c r="S109" s="11"/>
      <c r="T109" s="6"/>
      <c r="U109" s="28" t="str">
        <f>HYPERLINK("https://media.infra-m.ru/2117/2117149/cover/2117149.jpg", "Обложка")</f>
        <v>Обложка</v>
      </c>
      <c r="V109" s="28" t="str">
        <f>HYPERLINK("https://znanium.ru/catalog/product/1038682", "Ознакомиться")</f>
        <v>Ознакомиться</v>
      </c>
      <c r="W109" s="8" t="s">
        <v>47</v>
      </c>
      <c r="X109" s="6"/>
      <c r="Y109" s="6"/>
      <c r="Z109" s="6"/>
      <c r="AA109" s="6" t="s">
        <v>112</v>
      </c>
    </row>
    <row r="110" spans="1:27" s="4" customFormat="1" ht="51.95" customHeight="1">
      <c r="A110" s="5">
        <v>0</v>
      </c>
      <c r="B110" s="6" t="s">
        <v>736</v>
      </c>
      <c r="C110" s="7">
        <v>1170</v>
      </c>
      <c r="D110" s="8" t="s">
        <v>737</v>
      </c>
      <c r="E110" s="8" t="s">
        <v>738</v>
      </c>
      <c r="F110" s="8" t="s">
        <v>739</v>
      </c>
      <c r="G110" s="6" t="s">
        <v>52</v>
      </c>
      <c r="H110" s="6" t="s">
        <v>38</v>
      </c>
      <c r="I110" s="8" t="s">
        <v>39</v>
      </c>
      <c r="J110" s="9">
        <v>1</v>
      </c>
      <c r="K110" s="9">
        <v>307</v>
      </c>
      <c r="L110" s="9">
        <v>2022</v>
      </c>
      <c r="M110" s="8" t="s">
        <v>740</v>
      </c>
      <c r="N110" s="8" t="s">
        <v>41</v>
      </c>
      <c r="O110" s="8" t="s">
        <v>42</v>
      </c>
      <c r="P110" s="6" t="s">
        <v>66</v>
      </c>
      <c r="Q110" s="8" t="s">
        <v>44</v>
      </c>
      <c r="R110" s="10" t="s">
        <v>741</v>
      </c>
      <c r="S110" s="11" t="s">
        <v>742</v>
      </c>
      <c r="T110" s="6"/>
      <c r="U110" s="28" t="str">
        <f>HYPERLINK("https://media.infra-m.ru/1865/1865949/cover/1865949.jpg", "Обложка")</f>
        <v>Обложка</v>
      </c>
      <c r="V110" s="28" t="str">
        <f>HYPERLINK("https://znanium.ru/catalog/product/1865949", "Ознакомиться")</f>
        <v>Ознакомиться</v>
      </c>
      <c r="W110" s="8" t="s">
        <v>47</v>
      </c>
      <c r="X110" s="6"/>
      <c r="Y110" s="6"/>
      <c r="Z110" s="6"/>
      <c r="AA110" s="6" t="s">
        <v>205</v>
      </c>
    </row>
    <row r="111" spans="1:27" s="4" customFormat="1" ht="51.95" customHeight="1">
      <c r="A111" s="5">
        <v>0</v>
      </c>
      <c r="B111" s="6" t="s">
        <v>743</v>
      </c>
      <c r="C111" s="7">
        <v>1170</v>
      </c>
      <c r="D111" s="8" t="s">
        <v>744</v>
      </c>
      <c r="E111" s="8" t="s">
        <v>738</v>
      </c>
      <c r="F111" s="8" t="s">
        <v>739</v>
      </c>
      <c r="G111" s="6" t="s">
        <v>37</v>
      </c>
      <c r="H111" s="6" t="s">
        <v>38</v>
      </c>
      <c r="I111" s="8" t="s">
        <v>53</v>
      </c>
      <c r="J111" s="9">
        <v>1</v>
      </c>
      <c r="K111" s="9">
        <v>307</v>
      </c>
      <c r="L111" s="9">
        <v>2022</v>
      </c>
      <c r="M111" s="8" t="s">
        <v>745</v>
      </c>
      <c r="N111" s="8" t="s">
        <v>41</v>
      </c>
      <c r="O111" s="8" t="s">
        <v>42</v>
      </c>
      <c r="P111" s="6" t="s">
        <v>66</v>
      </c>
      <c r="Q111" s="8" t="s">
        <v>55</v>
      </c>
      <c r="R111" s="10" t="s">
        <v>746</v>
      </c>
      <c r="S111" s="11" t="s">
        <v>747</v>
      </c>
      <c r="T111" s="6"/>
      <c r="U111" s="28" t="str">
        <f>HYPERLINK("https://media.infra-m.ru/1831/1831934/cover/1831934.jpg", "Обложка")</f>
        <v>Обложка</v>
      </c>
      <c r="V111" s="28" t="str">
        <f>HYPERLINK("https://znanium.ru/catalog/product/1831934", "Ознакомиться")</f>
        <v>Ознакомиться</v>
      </c>
      <c r="W111" s="8" t="s">
        <v>47</v>
      </c>
      <c r="X111" s="6"/>
      <c r="Y111" s="6"/>
      <c r="Z111" s="6" t="s">
        <v>58</v>
      </c>
      <c r="AA111" s="6" t="s">
        <v>419</v>
      </c>
    </row>
    <row r="112" spans="1:27" s="4" customFormat="1" ht="42" customHeight="1">
      <c r="A112" s="5">
        <v>0</v>
      </c>
      <c r="B112" s="6" t="s">
        <v>748</v>
      </c>
      <c r="C112" s="7">
        <v>1250</v>
      </c>
      <c r="D112" s="8" t="s">
        <v>749</v>
      </c>
      <c r="E112" s="8" t="s">
        <v>750</v>
      </c>
      <c r="F112" s="8" t="s">
        <v>751</v>
      </c>
      <c r="G112" s="6" t="s">
        <v>117</v>
      </c>
      <c r="H112" s="6" t="s">
        <v>38</v>
      </c>
      <c r="I112" s="8" t="s">
        <v>106</v>
      </c>
      <c r="J112" s="9">
        <v>1</v>
      </c>
      <c r="K112" s="9">
        <v>279</v>
      </c>
      <c r="L112" s="9">
        <v>2023</v>
      </c>
      <c r="M112" s="8" t="s">
        <v>752</v>
      </c>
      <c r="N112" s="8" t="s">
        <v>41</v>
      </c>
      <c r="O112" s="8" t="s">
        <v>42</v>
      </c>
      <c r="P112" s="6" t="s">
        <v>108</v>
      </c>
      <c r="Q112" s="8" t="s">
        <v>109</v>
      </c>
      <c r="R112" s="10" t="s">
        <v>753</v>
      </c>
      <c r="S112" s="11"/>
      <c r="T112" s="6" t="s">
        <v>145</v>
      </c>
      <c r="U112" s="28" t="str">
        <f>HYPERLINK("https://media.infra-m.ru/1970/1970297/cover/1970297.jpg", "Обложка")</f>
        <v>Обложка</v>
      </c>
      <c r="V112" s="28" t="str">
        <f>HYPERLINK("https://znanium.ru/catalog/product/1970297", "Ознакомиться")</f>
        <v>Ознакомиться</v>
      </c>
      <c r="W112" s="8" t="s">
        <v>47</v>
      </c>
      <c r="X112" s="6"/>
      <c r="Y112" s="6"/>
      <c r="Z112" s="6"/>
      <c r="AA112" s="6" t="s">
        <v>59</v>
      </c>
    </row>
    <row r="113" spans="1:27" s="4" customFormat="1" ht="42" customHeight="1">
      <c r="A113" s="5">
        <v>0</v>
      </c>
      <c r="B113" s="6" t="s">
        <v>754</v>
      </c>
      <c r="C113" s="7">
        <v>1764</v>
      </c>
      <c r="D113" s="8" t="s">
        <v>755</v>
      </c>
      <c r="E113" s="8" t="s">
        <v>756</v>
      </c>
      <c r="F113" s="8" t="s">
        <v>757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383</v>
      </c>
      <c r="L113" s="9">
        <v>2024</v>
      </c>
      <c r="M113" s="8" t="s">
        <v>758</v>
      </c>
      <c r="N113" s="8" t="s">
        <v>41</v>
      </c>
      <c r="O113" s="8" t="s">
        <v>42</v>
      </c>
      <c r="P113" s="6" t="s">
        <v>66</v>
      </c>
      <c r="Q113" s="8" t="s">
        <v>44</v>
      </c>
      <c r="R113" s="10" t="s">
        <v>597</v>
      </c>
      <c r="S113" s="11"/>
      <c r="T113" s="6" t="s">
        <v>145</v>
      </c>
      <c r="U113" s="28" t="str">
        <f>HYPERLINK("https://media.infra-m.ru/2087/2087320/cover/2087320.jpg", "Обложка")</f>
        <v>Обложка</v>
      </c>
      <c r="V113" s="28" t="str">
        <f>HYPERLINK("https://znanium.ru/catalog/product/1081865", "Ознакомиться")</f>
        <v>Ознакомиться</v>
      </c>
      <c r="W113" s="8" t="s">
        <v>759</v>
      </c>
      <c r="X113" s="6"/>
      <c r="Y113" s="6"/>
      <c r="Z113" s="6"/>
      <c r="AA113" s="6" t="s">
        <v>153</v>
      </c>
    </row>
    <row r="114" spans="1:27" s="4" customFormat="1" ht="42" customHeight="1">
      <c r="A114" s="5">
        <v>0</v>
      </c>
      <c r="B114" s="6" t="s">
        <v>760</v>
      </c>
      <c r="C114" s="13">
        <v>744</v>
      </c>
      <c r="D114" s="8" t="s">
        <v>761</v>
      </c>
      <c r="E114" s="8" t="s">
        <v>762</v>
      </c>
      <c r="F114" s="8" t="s">
        <v>763</v>
      </c>
      <c r="G114" s="6" t="s">
        <v>37</v>
      </c>
      <c r="H114" s="6" t="s">
        <v>38</v>
      </c>
      <c r="I114" s="8" t="s">
        <v>106</v>
      </c>
      <c r="J114" s="9">
        <v>1</v>
      </c>
      <c r="K114" s="9">
        <v>158</v>
      </c>
      <c r="L114" s="9">
        <v>2024</v>
      </c>
      <c r="M114" s="8" t="s">
        <v>764</v>
      </c>
      <c r="N114" s="8" t="s">
        <v>41</v>
      </c>
      <c r="O114" s="8" t="s">
        <v>42</v>
      </c>
      <c r="P114" s="6" t="s">
        <v>108</v>
      </c>
      <c r="Q114" s="8" t="s">
        <v>109</v>
      </c>
      <c r="R114" s="10" t="s">
        <v>152</v>
      </c>
      <c r="S114" s="11"/>
      <c r="T114" s="6"/>
      <c r="U114" s="28" t="str">
        <f>HYPERLINK("https://media.infra-m.ru/2086/2086787/cover/2086787.jpg", "Обложка")</f>
        <v>Обложка</v>
      </c>
      <c r="V114" s="28" t="str">
        <f>HYPERLINK("https://znanium.ru/catalog/product/1093729", "Ознакомиться")</f>
        <v>Ознакомиться</v>
      </c>
      <c r="W114" s="8" t="s">
        <v>162</v>
      </c>
      <c r="X114" s="6"/>
      <c r="Y114" s="6"/>
      <c r="Z114" s="6"/>
      <c r="AA114" s="6" t="s">
        <v>163</v>
      </c>
    </row>
    <row r="115" spans="1:27" s="4" customFormat="1" ht="42" customHeight="1">
      <c r="A115" s="5">
        <v>0</v>
      </c>
      <c r="B115" s="6" t="s">
        <v>765</v>
      </c>
      <c r="C115" s="13">
        <v>554.9</v>
      </c>
      <c r="D115" s="8" t="s">
        <v>766</v>
      </c>
      <c r="E115" s="8" t="s">
        <v>767</v>
      </c>
      <c r="F115" s="8" t="s">
        <v>768</v>
      </c>
      <c r="G115" s="6" t="s">
        <v>117</v>
      </c>
      <c r="H115" s="6" t="s">
        <v>38</v>
      </c>
      <c r="I115" s="8" t="s">
        <v>106</v>
      </c>
      <c r="J115" s="9">
        <v>1</v>
      </c>
      <c r="K115" s="9">
        <v>155</v>
      </c>
      <c r="L115" s="9">
        <v>2018</v>
      </c>
      <c r="M115" s="8" t="s">
        <v>769</v>
      </c>
      <c r="N115" s="8" t="s">
        <v>41</v>
      </c>
      <c r="O115" s="8" t="s">
        <v>42</v>
      </c>
      <c r="P115" s="6" t="s">
        <v>108</v>
      </c>
      <c r="Q115" s="8" t="s">
        <v>109</v>
      </c>
      <c r="R115" s="10" t="s">
        <v>644</v>
      </c>
      <c r="S115" s="11"/>
      <c r="T115" s="6"/>
      <c r="U115" s="28" t="str">
        <f>HYPERLINK("https://media.infra-m.ru/1002/1002794/cover/1002794.jpg", "Обложка")</f>
        <v>Обложка</v>
      </c>
      <c r="V115" s="28" t="str">
        <f>HYPERLINK("https://znanium.ru/catalog/product/977686", "Ознакомиться")</f>
        <v>Ознакомиться</v>
      </c>
      <c r="W115" s="8" t="s">
        <v>47</v>
      </c>
      <c r="X115" s="6"/>
      <c r="Y115" s="6"/>
      <c r="Z115" s="6"/>
      <c r="AA115" s="6" t="s">
        <v>112</v>
      </c>
    </row>
    <row r="116" spans="1:27" s="4" customFormat="1" ht="51.95" customHeight="1">
      <c r="A116" s="5">
        <v>0</v>
      </c>
      <c r="B116" s="6" t="s">
        <v>770</v>
      </c>
      <c r="C116" s="7">
        <v>1664</v>
      </c>
      <c r="D116" s="8" t="s">
        <v>771</v>
      </c>
      <c r="E116" s="8" t="s">
        <v>772</v>
      </c>
      <c r="F116" s="8" t="s">
        <v>773</v>
      </c>
      <c r="G116" s="6" t="s">
        <v>37</v>
      </c>
      <c r="H116" s="6" t="s">
        <v>38</v>
      </c>
      <c r="I116" s="8" t="s">
        <v>39</v>
      </c>
      <c r="J116" s="9">
        <v>1</v>
      </c>
      <c r="K116" s="9">
        <v>363</v>
      </c>
      <c r="L116" s="9">
        <v>2024</v>
      </c>
      <c r="M116" s="8" t="s">
        <v>774</v>
      </c>
      <c r="N116" s="8" t="s">
        <v>41</v>
      </c>
      <c r="O116" s="8" t="s">
        <v>42</v>
      </c>
      <c r="P116" s="6" t="s">
        <v>66</v>
      </c>
      <c r="Q116" s="8" t="s">
        <v>44</v>
      </c>
      <c r="R116" s="10" t="s">
        <v>128</v>
      </c>
      <c r="S116" s="11" t="s">
        <v>775</v>
      </c>
      <c r="T116" s="6" t="s">
        <v>145</v>
      </c>
      <c r="U116" s="28" t="str">
        <f>HYPERLINK("https://media.infra-m.ru/2091/2091881/cover/2091881.jpg", "Обложка")</f>
        <v>Обложка</v>
      </c>
      <c r="V116" s="28" t="str">
        <f>HYPERLINK("https://znanium.ru/catalog/product/1062370", "Ознакомиться")</f>
        <v>Ознакомиться</v>
      </c>
      <c r="W116" s="8" t="s">
        <v>776</v>
      </c>
      <c r="X116" s="6"/>
      <c r="Y116" s="6"/>
      <c r="Z116" s="6"/>
      <c r="AA116" s="6" t="s">
        <v>96</v>
      </c>
    </row>
    <row r="117" spans="1:27" s="4" customFormat="1" ht="51.95" customHeight="1">
      <c r="A117" s="5">
        <v>0</v>
      </c>
      <c r="B117" s="6" t="s">
        <v>777</v>
      </c>
      <c r="C117" s="13">
        <v>780</v>
      </c>
      <c r="D117" s="8" t="s">
        <v>778</v>
      </c>
      <c r="E117" s="8" t="s">
        <v>779</v>
      </c>
      <c r="F117" s="8" t="s">
        <v>780</v>
      </c>
      <c r="G117" s="6" t="s">
        <v>117</v>
      </c>
      <c r="H117" s="6" t="s">
        <v>38</v>
      </c>
      <c r="I117" s="8" t="s">
        <v>106</v>
      </c>
      <c r="J117" s="9">
        <v>1</v>
      </c>
      <c r="K117" s="9">
        <v>173</v>
      </c>
      <c r="L117" s="9">
        <v>2023</v>
      </c>
      <c r="M117" s="8" t="s">
        <v>781</v>
      </c>
      <c r="N117" s="8" t="s">
        <v>41</v>
      </c>
      <c r="O117" s="8" t="s">
        <v>42</v>
      </c>
      <c r="P117" s="6" t="s">
        <v>108</v>
      </c>
      <c r="Q117" s="8" t="s">
        <v>109</v>
      </c>
      <c r="R117" s="10" t="s">
        <v>782</v>
      </c>
      <c r="S117" s="11"/>
      <c r="T117" s="6"/>
      <c r="U117" s="28" t="str">
        <f>HYPERLINK("https://media.infra-m.ru/1911/1911160/cover/1911160.jpg", "Обложка")</f>
        <v>Обложка</v>
      </c>
      <c r="V117" s="28" t="str">
        <f>HYPERLINK("https://znanium.ru/catalog/product/1911160", "Ознакомиться")</f>
        <v>Ознакомиться</v>
      </c>
      <c r="W117" s="8" t="s">
        <v>783</v>
      </c>
      <c r="X117" s="6"/>
      <c r="Y117" s="6"/>
      <c r="Z117" s="6"/>
      <c r="AA117" s="6" t="s">
        <v>48</v>
      </c>
    </row>
    <row r="118" spans="1:27" s="4" customFormat="1" ht="51.95" customHeight="1">
      <c r="A118" s="5">
        <v>0</v>
      </c>
      <c r="B118" s="6" t="s">
        <v>784</v>
      </c>
      <c r="C118" s="7">
        <v>1590</v>
      </c>
      <c r="D118" s="8" t="s">
        <v>785</v>
      </c>
      <c r="E118" s="8" t="s">
        <v>786</v>
      </c>
      <c r="F118" s="8" t="s">
        <v>787</v>
      </c>
      <c r="G118" s="6" t="s">
        <v>52</v>
      </c>
      <c r="H118" s="6" t="s">
        <v>38</v>
      </c>
      <c r="I118" s="8" t="s">
        <v>39</v>
      </c>
      <c r="J118" s="9">
        <v>1</v>
      </c>
      <c r="K118" s="9">
        <v>344</v>
      </c>
      <c r="L118" s="9">
        <v>2023</v>
      </c>
      <c r="M118" s="8" t="s">
        <v>788</v>
      </c>
      <c r="N118" s="8" t="s">
        <v>41</v>
      </c>
      <c r="O118" s="8" t="s">
        <v>42</v>
      </c>
      <c r="P118" s="6" t="s">
        <v>66</v>
      </c>
      <c r="Q118" s="8" t="s">
        <v>44</v>
      </c>
      <c r="R118" s="10" t="s">
        <v>249</v>
      </c>
      <c r="S118" s="11" t="s">
        <v>789</v>
      </c>
      <c r="T118" s="6"/>
      <c r="U118" s="28" t="str">
        <f>HYPERLINK("https://media.infra-m.ru/2126/2126469/cover/2126469.jpg", "Обложка")</f>
        <v>Обложка</v>
      </c>
      <c r="V118" s="28" t="str">
        <f>HYPERLINK("https://znanium.ru/catalog/product/2126469", "Ознакомиться")</f>
        <v>Ознакомиться</v>
      </c>
      <c r="W118" s="8" t="s">
        <v>111</v>
      </c>
      <c r="X118" s="6"/>
      <c r="Y118" s="6"/>
      <c r="Z118" s="6"/>
      <c r="AA118" s="6" t="s">
        <v>163</v>
      </c>
    </row>
    <row r="119" spans="1:27" s="4" customFormat="1" ht="51.95" customHeight="1">
      <c r="A119" s="5">
        <v>0</v>
      </c>
      <c r="B119" s="6" t="s">
        <v>790</v>
      </c>
      <c r="C119" s="13">
        <v>634</v>
      </c>
      <c r="D119" s="8" t="s">
        <v>791</v>
      </c>
      <c r="E119" s="8" t="s">
        <v>792</v>
      </c>
      <c r="F119" s="8" t="s">
        <v>793</v>
      </c>
      <c r="G119" s="6" t="s">
        <v>37</v>
      </c>
      <c r="H119" s="6" t="s">
        <v>38</v>
      </c>
      <c r="I119" s="8" t="s">
        <v>39</v>
      </c>
      <c r="J119" s="9">
        <v>1</v>
      </c>
      <c r="K119" s="9">
        <v>138</v>
      </c>
      <c r="L119" s="9">
        <v>2024</v>
      </c>
      <c r="M119" s="8" t="s">
        <v>794</v>
      </c>
      <c r="N119" s="8" t="s">
        <v>41</v>
      </c>
      <c r="O119" s="8" t="s">
        <v>42</v>
      </c>
      <c r="P119" s="6" t="s">
        <v>66</v>
      </c>
      <c r="Q119" s="8" t="s">
        <v>44</v>
      </c>
      <c r="R119" s="10" t="s">
        <v>795</v>
      </c>
      <c r="S119" s="11" t="s">
        <v>796</v>
      </c>
      <c r="T119" s="6"/>
      <c r="U119" s="28" t="str">
        <f>HYPERLINK("https://media.infra-m.ru/2102/2102677/cover/2102677.jpg", "Обложка")</f>
        <v>Обложка</v>
      </c>
      <c r="V119" s="28" t="str">
        <f>HYPERLINK("https://znanium.ru/catalog/product/1947419", "Ознакомиться")</f>
        <v>Ознакомиться</v>
      </c>
      <c r="W119" s="8" t="s">
        <v>797</v>
      </c>
      <c r="X119" s="6"/>
      <c r="Y119" s="6"/>
      <c r="Z119" s="6"/>
      <c r="AA119" s="6" t="s">
        <v>198</v>
      </c>
    </row>
    <row r="120" spans="1:27" s="4" customFormat="1" ht="51.95" customHeight="1">
      <c r="A120" s="5">
        <v>0</v>
      </c>
      <c r="B120" s="6" t="s">
        <v>798</v>
      </c>
      <c r="C120" s="13">
        <v>870</v>
      </c>
      <c r="D120" s="8" t="s">
        <v>799</v>
      </c>
      <c r="E120" s="8" t="s">
        <v>800</v>
      </c>
      <c r="F120" s="8" t="s">
        <v>464</v>
      </c>
      <c r="G120" s="6" t="s">
        <v>52</v>
      </c>
      <c r="H120" s="6" t="s">
        <v>255</v>
      </c>
      <c r="I120" s="8" t="s">
        <v>39</v>
      </c>
      <c r="J120" s="9">
        <v>1</v>
      </c>
      <c r="K120" s="9">
        <v>226</v>
      </c>
      <c r="L120" s="9">
        <v>2022</v>
      </c>
      <c r="M120" s="8" t="s">
        <v>801</v>
      </c>
      <c r="N120" s="8" t="s">
        <v>41</v>
      </c>
      <c r="O120" s="8" t="s">
        <v>42</v>
      </c>
      <c r="P120" s="6" t="s">
        <v>66</v>
      </c>
      <c r="Q120" s="8" t="s">
        <v>44</v>
      </c>
      <c r="R120" s="10" t="s">
        <v>802</v>
      </c>
      <c r="S120" s="11" t="s">
        <v>803</v>
      </c>
      <c r="T120" s="6"/>
      <c r="U120" s="28" t="str">
        <f>HYPERLINK("https://media.infra-m.ru/1841/1841085/cover/1841085.jpg", "Обложка")</f>
        <v>Обложка</v>
      </c>
      <c r="V120" s="28" t="str">
        <f>HYPERLINK("https://znanium.ru/catalog/product/1841085", "Ознакомиться")</f>
        <v>Ознакомиться</v>
      </c>
      <c r="W120" s="8" t="s">
        <v>466</v>
      </c>
      <c r="X120" s="6"/>
      <c r="Y120" s="6"/>
      <c r="Z120" s="6"/>
      <c r="AA120" s="6" t="s">
        <v>163</v>
      </c>
    </row>
    <row r="121" spans="1:27" s="4" customFormat="1" ht="42" customHeight="1">
      <c r="A121" s="5">
        <v>0</v>
      </c>
      <c r="B121" s="6" t="s">
        <v>804</v>
      </c>
      <c r="C121" s="13">
        <v>940</v>
      </c>
      <c r="D121" s="8" t="s">
        <v>805</v>
      </c>
      <c r="E121" s="8" t="s">
        <v>806</v>
      </c>
      <c r="F121" s="8" t="s">
        <v>464</v>
      </c>
      <c r="G121" s="6" t="s">
        <v>117</v>
      </c>
      <c r="H121" s="6" t="s">
        <v>255</v>
      </c>
      <c r="I121" s="8"/>
      <c r="J121" s="9">
        <v>1</v>
      </c>
      <c r="K121" s="9">
        <v>200</v>
      </c>
      <c r="L121" s="9">
        <v>2024</v>
      </c>
      <c r="M121" s="8" t="s">
        <v>807</v>
      </c>
      <c r="N121" s="8" t="s">
        <v>41</v>
      </c>
      <c r="O121" s="8" t="s">
        <v>42</v>
      </c>
      <c r="P121" s="6" t="s">
        <v>66</v>
      </c>
      <c r="Q121" s="8" t="s">
        <v>44</v>
      </c>
      <c r="R121" s="10" t="s">
        <v>340</v>
      </c>
      <c r="S121" s="11"/>
      <c r="T121" s="6"/>
      <c r="U121" s="28" t="str">
        <f>HYPERLINK("https://media.infra-m.ru/2142/2142816/cover/2142816.jpg", "Обложка")</f>
        <v>Обложка</v>
      </c>
      <c r="V121" s="28" t="str">
        <f>HYPERLINK("https://znanium.ru/catalog/product/1841086", "Ознакомиться")</f>
        <v>Ознакомиться</v>
      </c>
      <c r="W121" s="8" t="s">
        <v>466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808</v>
      </c>
      <c r="C122" s="13">
        <v>710</v>
      </c>
      <c r="D122" s="8" t="s">
        <v>809</v>
      </c>
      <c r="E122" s="8" t="s">
        <v>810</v>
      </c>
      <c r="F122" s="8" t="s">
        <v>811</v>
      </c>
      <c r="G122" s="6" t="s">
        <v>117</v>
      </c>
      <c r="H122" s="6" t="s">
        <v>255</v>
      </c>
      <c r="I122" s="8" t="s">
        <v>64</v>
      </c>
      <c r="J122" s="9">
        <v>1</v>
      </c>
      <c r="K122" s="9">
        <v>110</v>
      </c>
      <c r="L122" s="9">
        <v>2024</v>
      </c>
      <c r="M122" s="8" t="s">
        <v>812</v>
      </c>
      <c r="N122" s="8" t="s">
        <v>41</v>
      </c>
      <c r="O122" s="8" t="s">
        <v>42</v>
      </c>
      <c r="P122" s="6" t="s">
        <v>66</v>
      </c>
      <c r="Q122" s="8" t="s">
        <v>83</v>
      </c>
      <c r="R122" s="10" t="s">
        <v>813</v>
      </c>
      <c r="S122" s="11" t="s">
        <v>814</v>
      </c>
      <c r="T122" s="6"/>
      <c r="U122" s="28" t="str">
        <f>HYPERLINK("https://media.infra-m.ru/2075/2075175/cover/2075175.jpg", "Обложка")</f>
        <v>Обложка</v>
      </c>
      <c r="V122" s="28" t="str">
        <f>HYPERLINK("https://znanium.ru/catalog/product/1855987", "Ознакомиться")</f>
        <v>Ознакомиться</v>
      </c>
      <c r="W122" s="8" t="s">
        <v>466</v>
      </c>
      <c r="X122" s="6"/>
      <c r="Y122" s="6"/>
      <c r="Z122" s="6"/>
      <c r="AA122" s="6" t="s">
        <v>96</v>
      </c>
    </row>
    <row r="123" spans="1:27" s="4" customFormat="1" ht="51.95" customHeight="1">
      <c r="A123" s="5">
        <v>0</v>
      </c>
      <c r="B123" s="6" t="s">
        <v>815</v>
      </c>
      <c r="C123" s="7">
        <v>1054</v>
      </c>
      <c r="D123" s="8" t="s">
        <v>816</v>
      </c>
      <c r="E123" s="8" t="s">
        <v>817</v>
      </c>
      <c r="F123" s="8" t="s">
        <v>818</v>
      </c>
      <c r="G123" s="6" t="s">
        <v>37</v>
      </c>
      <c r="H123" s="6" t="s">
        <v>361</v>
      </c>
      <c r="I123" s="8" t="s">
        <v>83</v>
      </c>
      <c r="J123" s="9">
        <v>1</v>
      </c>
      <c r="K123" s="9">
        <v>224</v>
      </c>
      <c r="L123" s="9">
        <v>2024</v>
      </c>
      <c r="M123" s="8" t="s">
        <v>819</v>
      </c>
      <c r="N123" s="8" t="s">
        <v>41</v>
      </c>
      <c r="O123" s="8" t="s">
        <v>42</v>
      </c>
      <c r="P123" s="6" t="s">
        <v>43</v>
      </c>
      <c r="Q123" s="8" t="s">
        <v>55</v>
      </c>
      <c r="R123" s="10" t="s">
        <v>820</v>
      </c>
      <c r="S123" s="11" t="s">
        <v>821</v>
      </c>
      <c r="T123" s="6"/>
      <c r="U123" s="28" t="str">
        <f>HYPERLINK("https://media.infra-m.ru/2113/2113308/cover/2113308.jpg", "Обложка")</f>
        <v>Обложка</v>
      </c>
      <c r="V123" s="28" t="str">
        <f>HYPERLINK("https://znanium.ru/catalog/product/1205990", "Ознакомиться")</f>
        <v>Ознакомиться</v>
      </c>
      <c r="W123" s="8" t="s">
        <v>822</v>
      </c>
      <c r="X123" s="6"/>
      <c r="Y123" s="6"/>
      <c r="Z123" s="6"/>
      <c r="AA123" s="6" t="s">
        <v>48</v>
      </c>
    </row>
    <row r="124" spans="1:27" s="4" customFormat="1" ht="51.95" customHeight="1">
      <c r="A124" s="5">
        <v>0</v>
      </c>
      <c r="B124" s="6" t="s">
        <v>823</v>
      </c>
      <c r="C124" s="13">
        <v>810</v>
      </c>
      <c r="D124" s="8" t="s">
        <v>824</v>
      </c>
      <c r="E124" s="8" t="s">
        <v>825</v>
      </c>
      <c r="F124" s="8" t="s">
        <v>826</v>
      </c>
      <c r="G124" s="6" t="s">
        <v>52</v>
      </c>
      <c r="H124" s="6" t="s">
        <v>38</v>
      </c>
      <c r="I124" s="8" t="s">
        <v>262</v>
      </c>
      <c r="J124" s="9">
        <v>1</v>
      </c>
      <c r="K124" s="9">
        <v>166</v>
      </c>
      <c r="L124" s="9">
        <v>2024</v>
      </c>
      <c r="M124" s="8" t="s">
        <v>827</v>
      </c>
      <c r="N124" s="8" t="s">
        <v>41</v>
      </c>
      <c r="O124" s="8" t="s">
        <v>42</v>
      </c>
      <c r="P124" s="6" t="s">
        <v>43</v>
      </c>
      <c r="Q124" s="8" t="s">
        <v>264</v>
      </c>
      <c r="R124" s="10" t="s">
        <v>438</v>
      </c>
      <c r="S124" s="11" t="s">
        <v>828</v>
      </c>
      <c r="T124" s="6"/>
      <c r="U124" s="28" t="str">
        <f>HYPERLINK("https://media.infra-m.ru/2131/2131186/cover/2131186.jpg", "Обложка")</f>
        <v>Обложка</v>
      </c>
      <c r="V124" s="28" t="str">
        <f>HYPERLINK("https://znanium.ru/catalog/product/2131186", "Ознакомиться")</f>
        <v>Ознакомиться</v>
      </c>
      <c r="W124" s="8" t="s">
        <v>829</v>
      </c>
      <c r="X124" s="6"/>
      <c r="Y124" s="6"/>
      <c r="Z124" s="6"/>
      <c r="AA124" s="6" t="s">
        <v>59</v>
      </c>
    </row>
    <row r="125" spans="1:27" s="4" customFormat="1" ht="51.95" customHeight="1">
      <c r="A125" s="5">
        <v>0</v>
      </c>
      <c r="B125" s="6" t="s">
        <v>830</v>
      </c>
      <c r="C125" s="7">
        <v>1694</v>
      </c>
      <c r="D125" s="8" t="s">
        <v>831</v>
      </c>
      <c r="E125" s="8" t="s">
        <v>832</v>
      </c>
      <c r="F125" s="8" t="s">
        <v>833</v>
      </c>
      <c r="G125" s="6" t="s">
        <v>52</v>
      </c>
      <c r="H125" s="6" t="s">
        <v>126</v>
      </c>
      <c r="I125" s="8" t="s">
        <v>64</v>
      </c>
      <c r="J125" s="9">
        <v>1</v>
      </c>
      <c r="K125" s="9">
        <v>367</v>
      </c>
      <c r="L125" s="9">
        <v>2023</v>
      </c>
      <c r="M125" s="8" t="s">
        <v>834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835</v>
      </c>
      <c r="S125" s="11" t="s">
        <v>836</v>
      </c>
      <c r="T125" s="6"/>
      <c r="U125" s="28" t="str">
        <f>HYPERLINK("https://media.infra-m.ru/2111/2111770/cover/2111770.jpg", "Обложка")</f>
        <v>Обложка</v>
      </c>
      <c r="V125" s="28" t="str">
        <f>HYPERLINK("https://znanium.ru/catalog/product/2104279", "Ознакомиться")</f>
        <v>Ознакомиться</v>
      </c>
      <c r="W125" s="8" t="s">
        <v>130</v>
      </c>
      <c r="X125" s="6"/>
      <c r="Y125" s="6"/>
      <c r="Z125" s="6"/>
      <c r="AA125" s="6" t="s">
        <v>131</v>
      </c>
    </row>
    <row r="126" spans="1:27" s="4" customFormat="1" ht="51.95" customHeight="1">
      <c r="A126" s="5">
        <v>0</v>
      </c>
      <c r="B126" s="6" t="s">
        <v>837</v>
      </c>
      <c r="C126" s="7">
        <v>1690</v>
      </c>
      <c r="D126" s="8" t="s">
        <v>838</v>
      </c>
      <c r="E126" s="8" t="s">
        <v>832</v>
      </c>
      <c r="F126" s="8" t="s">
        <v>833</v>
      </c>
      <c r="G126" s="6" t="s">
        <v>52</v>
      </c>
      <c r="H126" s="6" t="s">
        <v>126</v>
      </c>
      <c r="I126" s="8" t="s">
        <v>53</v>
      </c>
      <c r="J126" s="9">
        <v>1</v>
      </c>
      <c r="K126" s="9">
        <v>367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43</v>
      </c>
      <c r="Q126" s="8" t="s">
        <v>55</v>
      </c>
      <c r="R126" s="10" t="s">
        <v>100</v>
      </c>
      <c r="S126" s="11" t="s">
        <v>840</v>
      </c>
      <c r="T126" s="6"/>
      <c r="U126" s="28" t="str">
        <f>HYPERLINK("https://media.infra-m.ru/2094/2094513/cover/2094513.jpg", "Обложка")</f>
        <v>Обложка</v>
      </c>
      <c r="V126" s="28" t="str">
        <f>HYPERLINK("https://znanium.ru/catalog/product/2094513", "Ознакомиться")</f>
        <v>Ознакомиться</v>
      </c>
      <c r="W126" s="8" t="s">
        <v>130</v>
      </c>
      <c r="X126" s="6"/>
      <c r="Y126" s="6"/>
      <c r="Z126" s="6" t="s">
        <v>58</v>
      </c>
      <c r="AA126" s="6" t="s">
        <v>59</v>
      </c>
    </row>
    <row r="127" spans="1:27" s="4" customFormat="1" ht="51.95" customHeight="1">
      <c r="A127" s="5">
        <v>0</v>
      </c>
      <c r="B127" s="6" t="s">
        <v>841</v>
      </c>
      <c r="C127" s="7">
        <v>1400</v>
      </c>
      <c r="D127" s="8" t="s">
        <v>842</v>
      </c>
      <c r="E127" s="8" t="s">
        <v>843</v>
      </c>
      <c r="F127" s="8" t="s">
        <v>844</v>
      </c>
      <c r="G127" s="6" t="s">
        <v>37</v>
      </c>
      <c r="H127" s="6" t="s">
        <v>38</v>
      </c>
      <c r="I127" s="8" t="s">
        <v>81</v>
      </c>
      <c r="J127" s="9">
        <v>1</v>
      </c>
      <c r="K127" s="9">
        <v>303</v>
      </c>
      <c r="L127" s="9">
        <v>2024</v>
      </c>
      <c r="M127" s="8" t="s">
        <v>845</v>
      </c>
      <c r="N127" s="8" t="s">
        <v>41</v>
      </c>
      <c r="O127" s="8" t="s">
        <v>42</v>
      </c>
      <c r="P127" s="6" t="s">
        <v>43</v>
      </c>
      <c r="Q127" s="8" t="s">
        <v>83</v>
      </c>
      <c r="R127" s="10" t="s">
        <v>152</v>
      </c>
      <c r="S127" s="11" t="s">
        <v>846</v>
      </c>
      <c r="T127" s="6"/>
      <c r="U127" s="28" t="str">
        <f>HYPERLINK("https://media.infra-m.ru/2105/2105240/cover/2105240.jpg", "Обложка")</f>
        <v>Обложка</v>
      </c>
      <c r="V127" s="28" t="str">
        <f>HYPERLINK("https://znanium.ru/catalog/product/2105240", "Ознакомиться")</f>
        <v>Ознакомиться</v>
      </c>
      <c r="W127" s="8" t="s">
        <v>86</v>
      </c>
      <c r="X127" s="6" t="s">
        <v>847</v>
      </c>
      <c r="Y127" s="6"/>
      <c r="Z127" s="6"/>
      <c r="AA127" s="6" t="s">
        <v>88</v>
      </c>
    </row>
    <row r="128" spans="1:27" s="4" customFormat="1" ht="51.95" customHeight="1">
      <c r="A128" s="5">
        <v>0</v>
      </c>
      <c r="B128" s="6" t="s">
        <v>848</v>
      </c>
      <c r="C128" s="7">
        <v>1550</v>
      </c>
      <c r="D128" s="8" t="s">
        <v>849</v>
      </c>
      <c r="E128" s="8" t="s">
        <v>850</v>
      </c>
      <c r="F128" s="8" t="s">
        <v>844</v>
      </c>
      <c r="G128" s="6" t="s">
        <v>37</v>
      </c>
      <c r="H128" s="6" t="s">
        <v>38</v>
      </c>
      <c r="I128" s="8" t="s">
        <v>81</v>
      </c>
      <c r="J128" s="9">
        <v>1</v>
      </c>
      <c r="K128" s="9">
        <v>335</v>
      </c>
      <c r="L128" s="9">
        <v>2024</v>
      </c>
      <c r="M128" s="8" t="s">
        <v>851</v>
      </c>
      <c r="N128" s="8" t="s">
        <v>41</v>
      </c>
      <c r="O128" s="8" t="s">
        <v>42</v>
      </c>
      <c r="P128" s="6" t="s">
        <v>43</v>
      </c>
      <c r="Q128" s="8" t="s">
        <v>83</v>
      </c>
      <c r="R128" s="10" t="s">
        <v>152</v>
      </c>
      <c r="S128" s="11" t="s">
        <v>846</v>
      </c>
      <c r="T128" s="6"/>
      <c r="U128" s="28" t="str">
        <f>HYPERLINK("https://media.infra-m.ru/2105/2105235/cover/2105235.jpg", "Обложка")</f>
        <v>Обложка</v>
      </c>
      <c r="V128" s="28" t="str">
        <f>HYPERLINK("https://znanium.ru/catalog/product/2105235", "Ознакомиться")</f>
        <v>Ознакомиться</v>
      </c>
      <c r="W128" s="8" t="s">
        <v>86</v>
      </c>
      <c r="X128" s="6" t="s">
        <v>847</v>
      </c>
      <c r="Y128" s="6"/>
      <c r="Z128" s="6"/>
      <c r="AA128" s="6" t="s">
        <v>88</v>
      </c>
    </row>
    <row r="129" spans="1:27" s="4" customFormat="1" ht="51.95" customHeight="1">
      <c r="A129" s="5">
        <v>0</v>
      </c>
      <c r="B129" s="6" t="s">
        <v>852</v>
      </c>
      <c r="C129" s="7">
        <v>1740</v>
      </c>
      <c r="D129" s="8" t="s">
        <v>853</v>
      </c>
      <c r="E129" s="8" t="s">
        <v>854</v>
      </c>
      <c r="F129" s="8" t="s">
        <v>855</v>
      </c>
      <c r="G129" s="6" t="s">
        <v>52</v>
      </c>
      <c r="H129" s="6" t="s">
        <v>38</v>
      </c>
      <c r="I129" s="8" t="s">
        <v>484</v>
      </c>
      <c r="J129" s="9">
        <v>1</v>
      </c>
      <c r="K129" s="9">
        <v>378</v>
      </c>
      <c r="L129" s="9">
        <v>2023</v>
      </c>
      <c r="M129" s="8" t="s">
        <v>856</v>
      </c>
      <c r="N129" s="8" t="s">
        <v>41</v>
      </c>
      <c r="O129" s="8" t="s">
        <v>42</v>
      </c>
      <c r="P129" s="6" t="s">
        <v>66</v>
      </c>
      <c r="Q129" s="8" t="s">
        <v>44</v>
      </c>
      <c r="R129" s="10" t="s">
        <v>857</v>
      </c>
      <c r="S129" s="11" t="s">
        <v>858</v>
      </c>
      <c r="T129" s="6" t="s">
        <v>145</v>
      </c>
      <c r="U129" s="28" t="str">
        <f>HYPERLINK("https://media.infra-m.ru/2127/2127012/cover/2127012.jpg", "Обложка")</f>
        <v>Обложка</v>
      </c>
      <c r="V129" s="28" t="str">
        <f>HYPERLINK("https://znanium.ru/catalog/product/2127012", "Ознакомиться")</f>
        <v>Ознакомиться</v>
      </c>
      <c r="W129" s="8" t="s">
        <v>859</v>
      </c>
      <c r="X129" s="6"/>
      <c r="Y129" s="6"/>
      <c r="Z129" s="6"/>
      <c r="AA129" s="6" t="s">
        <v>163</v>
      </c>
    </row>
    <row r="130" spans="1:27" s="4" customFormat="1" ht="51.95" customHeight="1">
      <c r="A130" s="5">
        <v>0</v>
      </c>
      <c r="B130" s="6" t="s">
        <v>860</v>
      </c>
      <c r="C130" s="7">
        <v>1074.9000000000001</v>
      </c>
      <c r="D130" s="8" t="s">
        <v>861</v>
      </c>
      <c r="E130" s="8" t="s">
        <v>862</v>
      </c>
      <c r="F130" s="8" t="s">
        <v>863</v>
      </c>
      <c r="G130" s="6" t="s">
        <v>52</v>
      </c>
      <c r="H130" s="6" t="s">
        <v>38</v>
      </c>
      <c r="I130" s="8" t="s">
        <v>53</v>
      </c>
      <c r="J130" s="9">
        <v>1</v>
      </c>
      <c r="K130" s="9">
        <v>238</v>
      </c>
      <c r="L130" s="9">
        <v>2023</v>
      </c>
      <c r="M130" s="8" t="s">
        <v>864</v>
      </c>
      <c r="N130" s="8" t="s">
        <v>41</v>
      </c>
      <c r="O130" s="8" t="s">
        <v>42</v>
      </c>
      <c r="P130" s="6" t="s">
        <v>43</v>
      </c>
      <c r="Q130" s="8" t="s">
        <v>55</v>
      </c>
      <c r="R130" s="10" t="s">
        <v>865</v>
      </c>
      <c r="S130" s="11" t="s">
        <v>866</v>
      </c>
      <c r="T130" s="6"/>
      <c r="U130" s="28" t="str">
        <f>HYPERLINK("https://media.infra-m.ru/2045/2045954/cover/2045954.jpg", "Обложка")</f>
        <v>Обложка</v>
      </c>
      <c r="V130" s="28" t="str">
        <f>HYPERLINK("https://znanium.ru/catalog/product/1215060", "Ознакомиться")</f>
        <v>Ознакомиться</v>
      </c>
      <c r="W130" s="8" t="s">
        <v>387</v>
      </c>
      <c r="X130" s="6"/>
      <c r="Y130" s="6"/>
      <c r="Z130" s="6"/>
      <c r="AA130" s="6" t="s">
        <v>121</v>
      </c>
    </row>
    <row r="131" spans="1:27" s="4" customFormat="1" ht="51.95" customHeight="1">
      <c r="A131" s="5">
        <v>0</v>
      </c>
      <c r="B131" s="6" t="s">
        <v>867</v>
      </c>
      <c r="C131" s="7">
        <v>1320</v>
      </c>
      <c r="D131" s="8" t="s">
        <v>868</v>
      </c>
      <c r="E131" s="8" t="s">
        <v>869</v>
      </c>
      <c r="F131" s="8" t="s">
        <v>870</v>
      </c>
      <c r="G131" s="6" t="s">
        <v>52</v>
      </c>
      <c r="H131" s="6" t="s">
        <v>38</v>
      </c>
      <c r="I131" s="8" t="s">
        <v>158</v>
      </c>
      <c r="J131" s="9">
        <v>1</v>
      </c>
      <c r="K131" s="9">
        <v>285</v>
      </c>
      <c r="L131" s="9">
        <v>2023</v>
      </c>
      <c r="M131" s="8" t="s">
        <v>871</v>
      </c>
      <c r="N131" s="8" t="s">
        <v>41</v>
      </c>
      <c r="O131" s="8" t="s">
        <v>42</v>
      </c>
      <c r="P131" s="6" t="s">
        <v>43</v>
      </c>
      <c r="Q131" s="8" t="s">
        <v>55</v>
      </c>
      <c r="R131" s="10" t="s">
        <v>872</v>
      </c>
      <c r="S131" s="11" t="s">
        <v>873</v>
      </c>
      <c r="T131" s="6"/>
      <c r="U131" s="28" t="str">
        <f>HYPERLINK("https://media.infra-m.ru/2103/2103178/cover/2103178.jpg", "Обложка")</f>
        <v>Обложка</v>
      </c>
      <c r="V131" s="28" t="str">
        <f>HYPERLINK("https://znanium.ru/catalog/product/1981704", "Ознакомиться")</f>
        <v>Ознакомиться</v>
      </c>
      <c r="W131" s="8" t="s">
        <v>86</v>
      </c>
      <c r="X131" s="6"/>
      <c r="Y131" s="6"/>
      <c r="Z131" s="6"/>
      <c r="AA131" s="6" t="s">
        <v>184</v>
      </c>
    </row>
    <row r="132" spans="1:27" s="4" customFormat="1" ht="51.95" customHeight="1">
      <c r="A132" s="5">
        <v>0</v>
      </c>
      <c r="B132" s="6" t="s">
        <v>874</v>
      </c>
      <c r="C132" s="13">
        <v>890</v>
      </c>
      <c r="D132" s="8" t="s">
        <v>875</v>
      </c>
      <c r="E132" s="8" t="s">
        <v>876</v>
      </c>
      <c r="F132" s="8" t="s">
        <v>877</v>
      </c>
      <c r="G132" s="6" t="s">
        <v>37</v>
      </c>
      <c r="H132" s="6" t="s">
        <v>38</v>
      </c>
      <c r="I132" s="8" t="s">
        <v>81</v>
      </c>
      <c r="J132" s="9">
        <v>1</v>
      </c>
      <c r="K132" s="9">
        <v>180</v>
      </c>
      <c r="L132" s="9">
        <v>2024</v>
      </c>
      <c r="M132" s="8" t="s">
        <v>878</v>
      </c>
      <c r="N132" s="8" t="s">
        <v>41</v>
      </c>
      <c r="O132" s="8" t="s">
        <v>42</v>
      </c>
      <c r="P132" s="6" t="s">
        <v>43</v>
      </c>
      <c r="Q132" s="8" t="s">
        <v>83</v>
      </c>
      <c r="R132" s="10" t="s">
        <v>472</v>
      </c>
      <c r="S132" s="11" t="s">
        <v>879</v>
      </c>
      <c r="T132" s="6"/>
      <c r="U132" s="28" t="str">
        <f>HYPERLINK("https://media.infra-m.ru/2123/2123830/cover/2123830.jpg", "Обложка")</f>
        <v>Обложка</v>
      </c>
      <c r="V132" s="28" t="str">
        <f>HYPERLINK("https://znanium.ru/catalog/product/2123830", "Ознакомиться")</f>
        <v>Ознакомиться</v>
      </c>
      <c r="W132" s="8" t="s">
        <v>86</v>
      </c>
      <c r="X132" s="6" t="s">
        <v>559</v>
      </c>
      <c r="Y132" s="6"/>
      <c r="Z132" s="6"/>
      <c r="AA132" s="6" t="s">
        <v>88</v>
      </c>
    </row>
    <row r="133" spans="1:27" s="4" customFormat="1" ht="51.95" customHeight="1">
      <c r="A133" s="5">
        <v>0</v>
      </c>
      <c r="B133" s="6" t="s">
        <v>880</v>
      </c>
      <c r="C133" s="7">
        <v>1240</v>
      </c>
      <c r="D133" s="8" t="s">
        <v>881</v>
      </c>
      <c r="E133" s="8" t="s">
        <v>882</v>
      </c>
      <c r="F133" s="8" t="s">
        <v>883</v>
      </c>
      <c r="G133" s="6" t="s">
        <v>52</v>
      </c>
      <c r="H133" s="6" t="s">
        <v>38</v>
      </c>
      <c r="I133" s="8" t="s">
        <v>39</v>
      </c>
      <c r="J133" s="9">
        <v>1</v>
      </c>
      <c r="K133" s="9">
        <v>295</v>
      </c>
      <c r="L133" s="9">
        <v>2022</v>
      </c>
      <c r="M133" s="8" t="s">
        <v>884</v>
      </c>
      <c r="N133" s="8" t="s">
        <v>41</v>
      </c>
      <c r="O133" s="8" t="s">
        <v>42</v>
      </c>
      <c r="P133" s="6" t="s">
        <v>66</v>
      </c>
      <c r="Q133" s="8" t="s">
        <v>44</v>
      </c>
      <c r="R133" s="10" t="s">
        <v>385</v>
      </c>
      <c r="S133" s="11" t="s">
        <v>885</v>
      </c>
      <c r="T133" s="6"/>
      <c r="U133" s="28" t="str">
        <f>HYPERLINK("https://media.infra-m.ru/1877/1877120/cover/1877120.jpg", "Обложка")</f>
        <v>Обложка</v>
      </c>
      <c r="V133" s="28" t="str">
        <f>HYPERLINK("https://znanium.ru/catalog/product/1058537", "Ознакомиться")</f>
        <v>Ознакомиться</v>
      </c>
      <c r="W133" s="8" t="s">
        <v>886</v>
      </c>
      <c r="X133" s="6"/>
      <c r="Y133" s="6"/>
      <c r="Z133" s="6"/>
      <c r="AA133" s="6" t="s">
        <v>705</v>
      </c>
    </row>
    <row r="134" spans="1:27" s="4" customFormat="1" ht="51.95" customHeight="1">
      <c r="A134" s="5">
        <v>0</v>
      </c>
      <c r="B134" s="6" t="s">
        <v>887</v>
      </c>
      <c r="C134" s="7">
        <v>1360</v>
      </c>
      <c r="D134" s="8" t="s">
        <v>888</v>
      </c>
      <c r="E134" s="8" t="s">
        <v>882</v>
      </c>
      <c r="F134" s="8" t="s">
        <v>889</v>
      </c>
      <c r="G134" s="6" t="s">
        <v>52</v>
      </c>
      <c r="H134" s="6" t="s">
        <v>38</v>
      </c>
      <c r="I134" s="8" t="s">
        <v>53</v>
      </c>
      <c r="J134" s="9">
        <v>1</v>
      </c>
      <c r="K134" s="9">
        <v>295</v>
      </c>
      <c r="L134" s="9">
        <v>2024</v>
      </c>
      <c r="M134" s="8" t="s">
        <v>890</v>
      </c>
      <c r="N134" s="8" t="s">
        <v>41</v>
      </c>
      <c r="O134" s="8" t="s">
        <v>42</v>
      </c>
      <c r="P134" s="6" t="s">
        <v>66</v>
      </c>
      <c r="Q134" s="8" t="s">
        <v>55</v>
      </c>
      <c r="R134" s="10" t="s">
        <v>891</v>
      </c>
      <c r="S134" s="11" t="s">
        <v>892</v>
      </c>
      <c r="T134" s="6"/>
      <c r="U134" s="28" t="str">
        <f>HYPERLINK("https://media.infra-m.ru/2103/2103199/cover/2103199.jpg", "Обложка")</f>
        <v>Обложка</v>
      </c>
      <c r="V134" s="28" t="str">
        <f>HYPERLINK("https://znanium.ru/catalog/product/2103199", "Ознакомиться")</f>
        <v>Ознакомиться</v>
      </c>
      <c r="W134" s="8"/>
      <c r="X134" s="6"/>
      <c r="Y134" s="6"/>
      <c r="Z134" s="6" t="s">
        <v>58</v>
      </c>
      <c r="AA134" s="6" t="s">
        <v>705</v>
      </c>
    </row>
    <row r="135" spans="1:27" s="4" customFormat="1" ht="42" customHeight="1">
      <c r="A135" s="5">
        <v>0</v>
      </c>
      <c r="B135" s="6" t="s">
        <v>893</v>
      </c>
      <c r="C135" s="7">
        <v>1474</v>
      </c>
      <c r="D135" s="8" t="s">
        <v>894</v>
      </c>
      <c r="E135" s="8" t="s">
        <v>895</v>
      </c>
      <c r="F135" s="8" t="s">
        <v>896</v>
      </c>
      <c r="G135" s="6" t="s">
        <v>52</v>
      </c>
      <c r="H135" s="6" t="s">
        <v>38</v>
      </c>
      <c r="I135" s="8" t="s">
        <v>39</v>
      </c>
      <c r="J135" s="9">
        <v>1</v>
      </c>
      <c r="K135" s="9">
        <v>320</v>
      </c>
      <c r="L135" s="9">
        <v>2024</v>
      </c>
      <c r="M135" s="8" t="s">
        <v>897</v>
      </c>
      <c r="N135" s="8" t="s">
        <v>41</v>
      </c>
      <c r="O135" s="8" t="s">
        <v>42</v>
      </c>
      <c r="P135" s="6" t="s">
        <v>66</v>
      </c>
      <c r="Q135" s="8" t="s">
        <v>44</v>
      </c>
      <c r="R135" s="10" t="s">
        <v>293</v>
      </c>
      <c r="S135" s="11"/>
      <c r="T135" s="6"/>
      <c r="U135" s="28" t="str">
        <f>HYPERLINK("https://media.infra-m.ru/2094/2094497/cover/2094497.jpg", "Обложка")</f>
        <v>Обложка</v>
      </c>
      <c r="V135" s="28" t="str">
        <f>HYPERLINK("https://znanium.ru/catalog/product/1844267", "Ознакомиться")</f>
        <v>Ознакомиться</v>
      </c>
      <c r="W135" s="8" t="s">
        <v>898</v>
      </c>
      <c r="X135" s="6"/>
      <c r="Y135" s="6"/>
      <c r="Z135" s="6"/>
      <c r="AA135" s="6" t="s">
        <v>96</v>
      </c>
    </row>
    <row r="136" spans="1:27" s="4" customFormat="1" ht="51.95" customHeight="1">
      <c r="A136" s="5">
        <v>0</v>
      </c>
      <c r="B136" s="6" t="s">
        <v>899</v>
      </c>
      <c r="C136" s="7">
        <v>2060</v>
      </c>
      <c r="D136" s="8" t="s">
        <v>900</v>
      </c>
      <c r="E136" s="8" t="s">
        <v>901</v>
      </c>
      <c r="F136" s="8" t="s">
        <v>902</v>
      </c>
      <c r="G136" s="6" t="s">
        <v>37</v>
      </c>
      <c r="H136" s="6" t="s">
        <v>38</v>
      </c>
      <c r="I136" s="8" t="s">
        <v>484</v>
      </c>
      <c r="J136" s="9">
        <v>1</v>
      </c>
      <c r="K136" s="9">
        <v>449</v>
      </c>
      <c r="L136" s="9">
        <v>2023</v>
      </c>
      <c r="M136" s="8" t="s">
        <v>903</v>
      </c>
      <c r="N136" s="8" t="s">
        <v>41</v>
      </c>
      <c r="O136" s="8" t="s">
        <v>42</v>
      </c>
      <c r="P136" s="6" t="s">
        <v>66</v>
      </c>
      <c r="Q136" s="8" t="s">
        <v>233</v>
      </c>
      <c r="R136" s="10" t="s">
        <v>904</v>
      </c>
      <c r="S136" s="11" t="s">
        <v>905</v>
      </c>
      <c r="T136" s="6"/>
      <c r="U136" s="28" t="str">
        <f>HYPERLINK("https://media.infra-m.ru/1999/1999788/cover/1999788.jpg", "Обложка")</f>
        <v>Обложка</v>
      </c>
      <c r="V136" s="28" t="str">
        <f>HYPERLINK("https://znanium.ru/catalog/product/1999788", "Ознакомиться")</f>
        <v>Ознакомиться</v>
      </c>
      <c r="W136" s="8" t="s">
        <v>146</v>
      </c>
      <c r="X136" s="6"/>
      <c r="Y136" s="6"/>
      <c r="Z136" s="6"/>
      <c r="AA136" s="6" t="s">
        <v>112</v>
      </c>
    </row>
    <row r="137" spans="1:27" s="4" customFormat="1" ht="51.95" customHeight="1">
      <c r="A137" s="5">
        <v>0</v>
      </c>
      <c r="B137" s="6" t="s">
        <v>906</v>
      </c>
      <c r="C137" s="13">
        <v>930</v>
      </c>
      <c r="D137" s="8" t="s">
        <v>907</v>
      </c>
      <c r="E137" s="8" t="s">
        <v>908</v>
      </c>
      <c r="F137" s="8" t="s">
        <v>92</v>
      </c>
      <c r="G137" s="6" t="s">
        <v>52</v>
      </c>
      <c r="H137" s="6" t="s">
        <v>38</v>
      </c>
      <c r="I137" s="8" t="s">
        <v>53</v>
      </c>
      <c r="J137" s="9">
        <v>1</v>
      </c>
      <c r="K137" s="9">
        <v>202</v>
      </c>
      <c r="L137" s="9">
        <v>2024</v>
      </c>
      <c r="M137" s="8" t="s">
        <v>909</v>
      </c>
      <c r="N137" s="8" t="s">
        <v>41</v>
      </c>
      <c r="O137" s="8" t="s">
        <v>42</v>
      </c>
      <c r="P137" s="6" t="s">
        <v>43</v>
      </c>
      <c r="Q137" s="8" t="s">
        <v>55</v>
      </c>
      <c r="R137" s="10" t="s">
        <v>455</v>
      </c>
      <c r="S137" s="11" t="s">
        <v>57</v>
      </c>
      <c r="T137" s="6"/>
      <c r="U137" s="28" t="str">
        <f>HYPERLINK("https://media.infra-m.ru/2086/2086795/cover/2086795.jpg", "Обложка")</f>
        <v>Обложка</v>
      </c>
      <c r="V137" s="28" t="str">
        <f>HYPERLINK("https://znanium.ru/catalog/product/2086795", "Ознакомиться")</f>
        <v>Ознакомиться</v>
      </c>
      <c r="W137" s="8" t="s">
        <v>47</v>
      </c>
      <c r="X137" s="6"/>
      <c r="Y137" s="6"/>
      <c r="Z137" s="6" t="s">
        <v>58</v>
      </c>
      <c r="AA137" s="6" t="s">
        <v>59</v>
      </c>
    </row>
    <row r="138" spans="1:27" s="4" customFormat="1" ht="51.95" customHeight="1">
      <c r="A138" s="5">
        <v>0</v>
      </c>
      <c r="B138" s="6" t="s">
        <v>910</v>
      </c>
      <c r="C138" s="13">
        <v>930</v>
      </c>
      <c r="D138" s="8" t="s">
        <v>911</v>
      </c>
      <c r="E138" s="8" t="s">
        <v>908</v>
      </c>
      <c r="F138" s="8" t="s">
        <v>92</v>
      </c>
      <c r="G138" s="6" t="s">
        <v>52</v>
      </c>
      <c r="H138" s="6" t="s">
        <v>38</v>
      </c>
      <c r="I138" s="8" t="s">
        <v>64</v>
      </c>
      <c r="J138" s="9">
        <v>1</v>
      </c>
      <c r="K138" s="9">
        <v>202</v>
      </c>
      <c r="L138" s="9">
        <v>2024</v>
      </c>
      <c r="M138" s="8" t="s">
        <v>912</v>
      </c>
      <c r="N138" s="8" t="s">
        <v>41</v>
      </c>
      <c r="O138" s="8" t="s">
        <v>42</v>
      </c>
      <c r="P138" s="6" t="s">
        <v>43</v>
      </c>
      <c r="Q138" s="8" t="s">
        <v>44</v>
      </c>
      <c r="R138" s="10" t="s">
        <v>913</v>
      </c>
      <c r="S138" s="11" t="s">
        <v>914</v>
      </c>
      <c r="T138" s="6"/>
      <c r="U138" s="28" t="str">
        <f>HYPERLINK("https://media.infra-m.ru/2084/2084501/cover/2084501.jpg", "Обложка")</f>
        <v>Обложка</v>
      </c>
      <c r="V138" s="28" t="str">
        <f>HYPERLINK("https://znanium.ru/catalog/product/2084501", "Ознакомиться")</f>
        <v>Ознакомиться</v>
      </c>
      <c r="W138" s="8" t="s">
        <v>47</v>
      </c>
      <c r="X138" s="6"/>
      <c r="Y138" s="6"/>
      <c r="Z138" s="6"/>
      <c r="AA138" s="6" t="s">
        <v>205</v>
      </c>
    </row>
    <row r="139" spans="1:27" s="4" customFormat="1" ht="51.95" customHeight="1">
      <c r="A139" s="5">
        <v>0</v>
      </c>
      <c r="B139" s="6" t="s">
        <v>915</v>
      </c>
      <c r="C139" s="7">
        <v>1090</v>
      </c>
      <c r="D139" s="8" t="s">
        <v>916</v>
      </c>
      <c r="E139" s="8" t="s">
        <v>917</v>
      </c>
      <c r="F139" s="8" t="s">
        <v>918</v>
      </c>
      <c r="G139" s="6" t="s">
        <v>37</v>
      </c>
      <c r="H139" s="6" t="s">
        <v>38</v>
      </c>
      <c r="I139" s="8" t="s">
        <v>81</v>
      </c>
      <c r="J139" s="9">
        <v>1</v>
      </c>
      <c r="K139" s="9">
        <v>232</v>
      </c>
      <c r="L139" s="9">
        <v>2023</v>
      </c>
      <c r="M139" s="8" t="s">
        <v>919</v>
      </c>
      <c r="N139" s="8" t="s">
        <v>41</v>
      </c>
      <c r="O139" s="8" t="s">
        <v>42</v>
      </c>
      <c r="P139" s="6" t="s">
        <v>43</v>
      </c>
      <c r="Q139" s="8" t="s">
        <v>83</v>
      </c>
      <c r="R139" s="10" t="s">
        <v>920</v>
      </c>
      <c r="S139" s="11" t="s">
        <v>921</v>
      </c>
      <c r="T139" s="6"/>
      <c r="U139" s="28" t="str">
        <f>HYPERLINK("https://media.infra-m.ru/1959/1959225/cover/1959225.jpg", "Обложка")</f>
        <v>Обложка</v>
      </c>
      <c r="V139" s="28" t="str">
        <f>HYPERLINK("https://znanium.ru/catalog/product/1959225", "Ознакомиться")</f>
        <v>Ознакомиться</v>
      </c>
      <c r="W139" s="8" t="s">
        <v>86</v>
      </c>
      <c r="X139" s="6"/>
      <c r="Y139" s="6"/>
      <c r="Z139" s="6"/>
      <c r="AA139" s="6" t="s">
        <v>184</v>
      </c>
    </row>
    <row r="140" spans="1:27" s="4" customFormat="1" ht="51.95" customHeight="1">
      <c r="A140" s="5">
        <v>0</v>
      </c>
      <c r="B140" s="6" t="s">
        <v>922</v>
      </c>
      <c r="C140" s="13">
        <v>854</v>
      </c>
      <c r="D140" s="8" t="s">
        <v>923</v>
      </c>
      <c r="E140" s="8" t="s">
        <v>924</v>
      </c>
      <c r="F140" s="8" t="s">
        <v>925</v>
      </c>
      <c r="G140" s="6" t="s">
        <v>117</v>
      </c>
      <c r="H140" s="6" t="s">
        <v>38</v>
      </c>
      <c r="I140" s="8" t="s">
        <v>39</v>
      </c>
      <c r="J140" s="9">
        <v>1</v>
      </c>
      <c r="K140" s="9">
        <v>182</v>
      </c>
      <c r="L140" s="9">
        <v>2024</v>
      </c>
      <c r="M140" s="8" t="s">
        <v>926</v>
      </c>
      <c r="N140" s="8" t="s">
        <v>41</v>
      </c>
      <c r="O140" s="8" t="s">
        <v>42</v>
      </c>
      <c r="P140" s="6" t="s">
        <v>703</v>
      </c>
      <c r="Q140" s="8" t="s">
        <v>44</v>
      </c>
      <c r="R140" s="10" t="s">
        <v>714</v>
      </c>
      <c r="S140" s="11" t="s">
        <v>927</v>
      </c>
      <c r="T140" s="6"/>
      <c r="U140" s="28" t="str">
        <f>HYPERLINK("https://media.infra-m.ru/2141/2141512/cover/2141512.jpg", "Обложка")</f>
        <v>Обложка</v>
      </c>
      <c r="V140" s="28" t="str">
        <f>HYPERLINK("https://znanium.ru/catalog/product/1863147", "Ознакомиться")</f>
        <v>Ознакомиться</v>
      </c>
      <c r="W140" s="8" t="s">
        <v>162</v>
      </c>
      <c r="X140" s="6"/>
      <c r="Y140" s="6"/>
      <c r="Z140" s="6"/>
      <c r="AA140" s="6" t="s">
        <v>96</v>
      </c>
    </row>
    <row r="141" spans="1:27" s="4" customFormat="1" ht="51.95" customHeight="1">
      <c r="A141" s="5">
        <v>0</v>
      </c>
      <c r="B141" s="6" t="s">
        <v>928</v>
      </c>
      <c r="C141" s="13">
        <v>494</v>
      </c>
      <c r="D141" s="8" t="s">
        <v>929</v>
      </c>
      <c r="E141" s="8" t="s">
        <v>930</v>
      </c>
      <c r="F141" s="8" t="s">
        <v>931</v>
      </c>
      <c r="G141" s="6" t="s">
        <v>117</v>
      </c>
      <c r="H141" s="6" t="s">
        <v>255</v>
      </c>
      <c r="I141" s="8" t="s">
        <v>39</v>
      </c>
      <c r="J141" s="9">
        <v>1</v>
      </c>
      <c r="K141" s="9">
        <v>96</v>
      </c>
      <c r="L141" s="9">
        <v>2024</v>
      </c>
      <c r="M141" s="8" t="s">
        <v>932</v>
      </c>
      <c r="N141" s="8" t="s">
        <v>41</v>
      </c>
      <c r="O141" s="8" t="s">
        <v>42</v>
      </c>
      <c r="P141" s="6" t="s">
        <v>66</v>
      </c>
      <c r="Q141" s="8" t="s">
        <v>44</v>
      </c>
      <c r="R141" s="10" t="s">
        <v>933</v>
      </c>
      <c r="S141" s="11" t="s">
        <v>934</v>
      </c>
      <c r="T141" s="6"/>
      <c r="U141" s="28" t="str">
        <f>HYPERLINK("https://media.infra-m.ru/2048/2048860/cover/2048860.jpg", "Обложка")</f>
        <v>Обложка</v>
      </c>
      <c r="V141" s="28" t="str">
        <f>HYPERLINK("https://znanium.ru/catalog/product/1027008", "Ознакомиться")</f>
        <v>Ознакомиться</v>
      </c>
      <c r="W141" s="8" t="s">
        <v>466</v>
      </c>
      <c r="X141" s="6"/>
      <c r="Y141" s="6"/>
      <c r="Z141" s="6"/>
      <c r="AA141" s="6" t="s">
        <v>48</v>
      </c>
    </row>
    <row r="142" spans="1:27" s="4" customFormat="1" ht="51.95" customHeight="1">
      <c r="A142" s="5">
        <v>0</v>
      </c>
      <c r="B142" s="6" t="s">
        <v>935</v>
      </c>
      <c r="C142" s="13">
        <v>870</v>
      </c>
      <c r="D142" s="8" t="s">
        <v>936</v>
      </c>
      <c r="E142" s="8" t="s">
        <v>937</v>
      </c>
      <c r="F142" s="8" t="s">
        <v>938</v>
      </c>
      <c r="G142" s="6" t="s">
        <v>52</v>
      </c>
      <c r="H142" s="6" t="s">
        <v>361</v>
      </c>
      <c r="I142" s="8" t="s">
        <v>64</v>
      </c>
      <c r="J142" s="9">
        <v>1</v>
      </c>
      <c r="K142" s="9">
        <v>192</v>
      </c>
      <c r="L142" s="9">
        <v>2023</v>
      </c>
      <c r="M142" s="8" t="s">
        <v>939</v>
      </c>
      <c r="N142" s="8" t="s">
        <v>41</v>
      </c>
      <c r="O142" s="8" t="s">
        <v>42</v>
      </c>
      <c r="P142" s="6" t="s">
        <v>43</v>
      </c>
      <c r="Q142" s="8" t="s">
        <v>83</v>
      </c>
      <c r="R142" s="10" t="s">
        <v>940</v>
      </c>
      <c r="S142" s="11" t="s">
        <v>941</v>
      </c>
      <c r="T142" s="6"/>
      <c r="U142" s="28" t="str">
        <f>HYPERLINK("https://media.infra-m.ru/2016/2016337/cover/2016337.jpg", "Обложка")</f>
        <v>Обложка</v>
      </c>
      <c r="V142" s="28" t="str">
        <f>HYPERLINK("https://znanium.ru/catalog/product/2016337", "Ознакомиться")</f>
        <v>Ознакомиться</v>
      </c>
      <c r="W142" s="8" t="s">
        <v>942</v>
      </c>
      <c r="X142" s="6"/>
      <c r="Y142" s="6"/>
      <c r="Z142" s="6"/>
      <c r="AA142" s="6" t="s">
        <v>198</v>
      </c>
    </row>
    <row r="143" spans="1:27" s="4" customFormat="1" ht="51.95" customHeight="1">
      <c r="A143" s="5">
        <v>0</v>
      </c>
      <c r="B143" s="6" t="s">
        <v>943</v>
      </c>
      <c r="C143" s="7">
        <v>2150</v>
      </c>
      <c r="D143" s="8" t="s">
        <v>944</v>
      </c>
      <c r="E143" s="8" t="s">
        <v>945</v>
      </c>
      <c r="F143" s="8" t="s">
        <v>946</v>
      </c>
      <c r="G143" s="6" t="s">
        <v>37</v>
      </c>
      <c r="H143" s="6" t="s">
        <v>38</v>
      </c>
      <c r="I143" s="8" t="s">
        <v>53</v>
      </c>
      <c r="J143" s="9">
        <v>1</v>
      </c>
      <c r="K143" s="9">
        <v>467</v>
      </c>
      <c r="L143" s="9">
        <v>2024</v>
      </c>
      <c r="M143" s="8" t="s">
        <v>947</v>
      </c>
      <c r="N143" s="8" t="s">
        <v>41</v>
      </c>
      <c r="O143" s="8" t="s">
        <v>42</v>
      </c>
      <c r="P143" s="6" t="s">
        <v>66</v>
      </c>
      <c r="Q143" s="8" t="s">
        <v>55</v>
      </c>
      <c r="R143" s="10" t="s">
        <v>160</v>
      </c>
      <c r="S143" s="11" t="s">
        <v>280</v>
      </c>
      <c r="T143" s="6" t="s">
        <v>145</v>
      </c>
      <c r="U143" s="28" t="str">
        <f>HYPERLINK("https://media.infra-m.ru/2058/2058789/cover/2058789.jpg", "Обложка")</f>
        <v>Обложка</v>
      </c>
      <c r="V143" s="28" t="str">
        <f>HYPERLINK("https://znanium.ru/catalog/product/2058789", "Ознакомиться")</f>
        <v>Ознакомиться</v>
      </c>
      <c r="W143" s="8" t="s">
        <v>162</v>
      </c>
      <c r="X143" s="6"/>
      <c r="Y143" s="6"/>
      <c r="Z143" s="6" t="s">
        <v>58</v>
      </c>
      <c r="AA143" s="6" t="s">
        <v>59</v>
      </c>
    </row>
    <row r="144" spans="1:27" s="4" customFormat="1" ht="51.95" customHeight="1">
      <c r="A144" s="5">
        <v>0</v>
      </c>
      <c r="B144" s="6" t="s">
        <v>948</v>
      </c>
      <c r="C144" s="7">
        <v>2130</v>
      </c>
      <c r="D144" s="8" t="s">
        <v>949</v>
      </c>
      <c r="E144" s="8" t="s">
        <v>945</v>
      </c>
      <c r="F144" s="8" t="s">
        <v>946</v>
      </c>
      <c r="G144" s="6" t="s">
        <v>37</v>
      </c>
      <c r="H144" s="6" t="s">
        <v>38</v>
      </c>
      <c r="I144" s="8" t="s">
        <v>39</v>
      </c>
      <c r="J144" s="9">
        <v>1</v>
      </c>
      <c r="K144" s="9">
        <v>467</v>
      </c>
      <c r="L144" s="9">
        <v>2023</v>
      </c>
      <c r="M144" s="8" t="s">
        <v>950</v>
      </c>
      <c r="N144" s="8" t="s">
        <v>41</v>
      </c>
      <c r="O144" s="8" t="s">
        <v>42</v>
      </c>
      <c r="P144" s="6" t="s">
        <v>66</v>
      </c>
      <c r="Q144" s="8" t="s">
        <v>44</v>
      </c>
      <c r="R144" s="10" t="s">
        <v>152</v>
      </c>
      <c r="S144" s="11" t="s">
        <v>951</v>
      </c>
      <c r="T144" s="6" t="s">
        <v>145</v>
      </c>
      <c r="U144" s="28" t="str">
        <f>HYPERLINK("https://media.infra-m.ru/1880/1880699/cover/1880699.jpg", "Обложка")</f>
        <v>Обложка</v>
      </c>
      <c r="V144" s="28" t="str">
        <f>HYPERLINK("https://znanium.ru/catalog/product/1880699", "Ознакомиться")</f>
        <v>Ознакомиться</v>
      </c>
      <c r="W144" s="8" t="s">
        <v>162</v>
      </c>
      <c r="X144" s="6"/>
      <c r="Y144" s="6"/>
      <c r="Z144" s="6"/>
      <c r="AA144" s="6" t="s">
        <v>96</v>
      </c>
    </row>
    <row r="145" spans="1:27" s="4" customFormat="1" ht="51.95" customHeight="1">
      <c r="A145" s="5">
        <v>0</v>
      </c>
      <c r="B145" s="6" t="s">
        <v>952</v>
      </c>
      <c r="C145" s="13">
        <v>770</v>
      </c>
      <c r="D145" s="8" t="s">
        <v>953</v>
      </c>
      <c r="E145" s="8" t="s">
        <v>954</v>
      </c>
      <c r="F145" s="8" t="s">
        <v>955</v>
      </c>
      <c r="G145" s="6" t="s">
        <v>117</v>
      </c>
      <c r="H145" s="6" t="s">
        <v>38</v>
      </c>
      <c r="I145" s="8" t="s">
        <v>39</v>
      </c>
      <c r="J145" s="9">
        <v>1</v>
      </c>
      <c r="K145" s="9">
        <v>184</v>
      </c>
      <c r="L145" s="9">
        <v>2022</v>
      </c>
      <c r="M145" s="8" t="s">
        <v>956</v>
      </c>
      <c r="N145" s="8" t="s">
        <v>41</v>
      </c>
      <c r="O145" s="8" t="s">
        <v>42</v>
      </c>
      <c r="P145" s="6" t="s">
        <v>43</v>
      </c>
      <c r="Q145" s="8" t="s">
        <v>44</v>
      </c>
      <c r="R145" s="10" t="s">
        <v>450</v>
      </c>
      <c r="S145" s="11" t="s">
        <v>957</v>
      </c>
      <c r="T145" s="6"/>
      <c r="U145" s="28" t="str">
        <f>HYPERLINK("https://media.infra-m.ru/1873/1873738/cover/1873738.jpg", "Обложка")</f>
        <v>Обложка</v>
      </c>
      <c r="V145" s="28" t="str">
        <f>HYPERLINK("https://znanium.ru/catalog/product/1873738", "Ознакомиться")</f>
        <v>Ознакомиться</v>
      </c>
      <c r="W145" s="8" t="s">
        <v>958</v>
      </c>
      <c r="X145" s="6"/>
      <c r="Y145" s="6"/>
      <c r="Z145" s="6"/>
      <c r="AA145" s="6" t="s">
        <v>959</v>
      </c>
    </row>
    <row r="146" spans="1:27" s="4" customFormat="1" ht="51.95" customHeight="1">
      <c r="A146" s="5">
        <v>0</v>
      </c>
      <c r="B146" s="6" t="s">
        <v>960</v>
      </c>
      <c r="C146" s="7">
        <v>1850</v>
      </c>
      <c r="D146" s="8" t="s">
        <v>961</v>
      </c>
      <c r="E146" s="8" t="s">
        <v>962</v>
      </c>
      <c r="F146" s="8" t="s">
        <v>963</v>
      </c>
      <c r="G146" s="6" t="s">
        <v>52</v>
      </c>
      <c r="H146" s="6" t="s">
        <v>38</v>
      </c>
      <c r="I146" s="8" t="s">
        <v>484</v>
      </c>
      <c r="J146" s="9">
        <v>1</v>
      </c>
      <c r="K146" s="9">
        <v>411</v>
      </c>
      <c r="L146" s="9">
        <v>2023</v>
      </c>
      <c r="M146" s="8" t="s">
        <v>964</v>
      </c>
      <c r="N146" s="8" t="s">
        <v>41</v>
      </c>
      <c r="O146" s="8" t="s">
        <v>42</v>
      </c>
      <c r="P146" s="6" t="s">
        <v>66</v>
      </c>
      <c r="Q146" s="8" t="s">
        <v>233</v>
      </c>
      <c r="R146" s="10" t="s">
        <v>152</v>
      </c>
      <c r="S146" s="11" t="s">
        <v>965</v>
      </c>
      <c r="T146" s="6" t="s">
        <v>145</v>
      </c>
      <c r="U146" s="28" t="str">
        <f>HYPERLINK("https://media.infra-m.ru/1911/1911771/cover/1911771.jpg", "Обложка")</f>
        <v>Обложка</v>
      </c>
      <c r="V146" s="28" t="str">
        <f>HYPERLINK("https://znanium.ru/catalog/product/1911771", "Ознакомиться")</f>
        <v>Ознакомиться</v>
      </c>
      <c r="W146" s="8" t="s">
        <v>162</v>
      </c>
      <c r="X146" s="6"/>
      <c r="Y146" s="6"/>
      <c r="Z146" s="6"/>
      <c r="AA146" s="6" t="s">
        <v>163</v>
      </c>
    </row>
    <row r="147" spans="1:27" s="4" customFormat="1" ht="51.95" customHeight="1">
      <c r="A147" s="5">
        <v>0</v>
      </c>
      <c r="B147" s="6" t="s">
        <v>966</v>
      </c>
      <c r="C147" s="7">
        <v>1260</v>
      </c>
      <c r="D147" s="8" t="s">
        <v>967</v>
      </c>
      <c r="E147" s="8" t="s">
        <v>968</v>
      </c>
      <c r="F147" s="8" t="s">
        <v>969</v>
      </c>
      <c r="G147" s="6" t="s">
        <v>37</v>
      </c>
      <c r="H147" s="6" t="s">
        <v>38</v>
      </c>
      <c r="I147" s="8" t="s">
        <v>970</v>
      </c>
      <c r="J147" s="9">
        <v>1</v>
      </c>
      <c r="K147" s="9">
        <v>267</v>
      </c>
      <c r="L147" s="9">
        <v>2024</v>
      </c>
      <c r="M147" s="8" t="s">
        <v>971</v>
      </c>
      <c r="N147" s="8" t="s">
        <v>41</v>
      </c>
      <c r="O147" s="8" t="s">
        <v>42</v>
      </c>
      <c r="P147" s="6" t="s">
        <v>43</v>
      </c>
      <c r="Q147" s="8" t="s">
        <v>83</v>
      </c>
      <c r="R147" s="10" t="s">
        <v>972</v>
      </c>
      <c r="S147" s="11" t="s">
        <v>973</v>
      </c>
      <c r="T147" s="6"/>
      <c r="U147" s="28" t="str">
        <f>HYPERLINK("https://media.infra-m.ru/2082/2082626/cover/2082626.jpg", "Обложка")</f>
        <v>Обложка</v>
      </c>
      <c r="V147" s="28" t="str">
        <f>HYPERLINK("https://znanium.ru/catalog/product/2082626", "Ознакомиться")</f>
        <v>Ознакомиться</v>
      </c>
      <c r="W147" s="8" t="s">
        <v>86</v>
      </c>
      <c r="X147" s="6" t="s">
        <v>974</v>
      </c>
      <c r="Y147" s="6"/>
      <c r="Z147" s="6"/>
      <c r="AA147" s="6" t="s">
        <v>88</v>
      </c>
    </row>
    <row r="148" spans="1:27" s="4" customFormat="1" ht="42" customHeight="1">
      <c r="A148" s="5">
        <v>0</v>
      </c>
      <c r="B148" s="6" t="s">
        <v>975</v>
      </c>
      <c r="C148" s="7">
        <v>1920</v>
      </c>
      <c r="D148" s="8" t="s">
        <v>976</v>
      </c>
      <c r="E148" s="8" t="s">
        <v>977</v>
      </c>
      <c r="F148" s="8" t="s">
        <v>978</v>
      </c>
      <c r="G148" s="6" t="s">
        <v>37</v>
      </c>
      <c r="H148" s="6" t="s">
        <v>38</v>
      </c>
      <c r="I148" s="8" t="s">
        <v>64</v>
      </c>
      <c r="J148" s="9">
        <v>1</v>
      </c>
      <c r="K148" s="9">
        <v>404</v>
      </c>
      <c r="L148" s="9">
        <v>2024</v>
      </c>
      <c r="M148" s="8" t="s">
        <v>979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980</v>
      </c>
      <c r="S148" s="11"/>
      <c r="T148" s="6"/>
      <c r="U148" s="28" t="str">
        <f>HYPERLINK("https://media.infra-m.ru/1960/1960103/cover/1960103.jpg", "Обложка")</f>
        <v>Обложка</v>
      </c>
      <c r="V148" s="28" t="str">
        <f>HYPERLINK("https://znanium.ru/catalog/product/1960103", "Ознакомиться")</f>
        <v>Ознакомиться</v>
      </c>
      <c r="W148" s="8" t="s">
        <v>47</v>
      </c>
      <c r="X148" s="6" t="s">
        <v>559</v>
      </c>
      <c r="Y148" s="6"/>
      <c r="Z148" s="6"/>
      <c r="AA148" s="6" t="s">
        <v>88</v>
      </c>
    </row>
    <row r="149" spans="1:27" s="4" customFormat="1" ht="51.95" customHeight="1">
      <c r="A149" s="5">
        <v>0</v>
      </c>
      <c r="B149" s="6" t="s">
        <v>981</v>
      </c>
      <c r="C149" s="7">
        <v>1240</v>
      </c>
      <c r="D149" s="8" t="s">
        <v>982</v>
      </c>
      <c r="E149" s="8" t="s">
        <v>983</v>
      </c>
      <c r="F149" s="8" t="s">
        <v>984</v>
      </c>
      <c r="G149" s="6" t="s">
        <v>37</v>
      </c>
      <c r="H149" s="6" t="s">
        <v>38</v>
      </c>
      <c r="I149" s="8" t="s">
        <v>81</v>
      </c>
      <c r="J149" s="9">
        <v>1</v>
      </c>
      <c r="K149" s="9">
        <v>263</v>
      </c>
      <c r="L149" s="9">
        <v>2024</v>
      </c>
      <c r="M149" s="8" t="s">
        <v>985</v>
      </c>
      <c r="N149" s="8" t="s">
        <v>41</v>
      </c>
      <c r="O149" s="8" t="s">
        <v>42</v>
      </c>
      <c r="P149" s="6" t="s">
        <v>43</v>
      </c>
      <c r="Q149" s="8" t="s">
        <v>44</v>
      </c>
      <c r="R149" s="10" t="s">
        <v>986</v>
      </c>
      <c r="S149" s="11" t="s">
        <v>987</v>
      </c>
      <c r="T149" s="6"/>
      <c r="U149" s="28" t="str">
        <f>HYPERLINK("https://media.infra-m.ru/2131/2131370/cover/2131370.jpg", "Обложка")</f>
        <v>Обложка</v>
      </c>
      <c r="V149" s="28" t="str">
        <f>HYPERLINK("https://znanium.ru/catalog/product/2131370", "Ознакомиться")</f>
        <v>Ознакомиться</v>
      </c>
      <c r="W149" s="8" t="s">
        <v>86</v>
      </c>
      <c r="X149" s="6" t="s">
        <v>988</v>
      </c>
      <c r="Y149" s="6"/>
      <c r="Z149" s="6"/>
      <c r="AA149" s="6" t="s">
        <v>88</v>
      </c>
    </row>
    <row r="150" spans="1:27" s="4" customFormat="1" ht="51.95" customHeight="1">
      <c r="A150" s="5">
        <v>0</v>
      </c>
      <c r="B150" s="6" t="s">
        <v>989</v>
      </c>
      <c r="C150" s="7">
        <v>1590</v>
      </c>
      <c r="D150" s="8" t="s">
        <v>990</v>
      </c>
      <c r="E150" s="8" t="s">
        <v>991</v>
      </c>
      <c r="F150" s="8" t="s">
        <v>992</v>
      </c>
      <c r="G150" s="6" t="s">
        <v>52</v>
      </c>
      <c r="H150" s="6" t="s">
        <v>38</v>
      </c>
      <c r="I150" s="8" t="s">
        <v>39</v>
      </c>
      <c r="J150" s="9">
        <v>1</v>
      </c>
      <c r="K150" s="9">
        <v>352</v>
      </c>
      <c r="L150" s="9">
        <v>2023</v>
      </c>
      <c r="M150" s="8" t="s">
        <v>993</v>
      </c>
      <c r="N150" s="8" t="s">
        <v>41</v>
      </c>
      <c r="O150" s="8" t="s">
        <v>42</v>
      </c>
      <c r="P150" s="6" t="s">
        <v>66</v>
      </c>
      <c r="Q150" s="8" t="s">
        <v>44</v>
      </c>
      <c r="R150" s="10" t="s">
        <v>994</v>
      </c>
      <c r="S150" s="11" t="s">
        <v>995</v>
      </c>
      <c r="T150" s="6"/>
      <c r="U150" s="28" t="str">
        <f>HYPERLINK("https://media.infra-m.ru/1941/1941763/cover/1941763.jpg", "Обложка")</f>
        <v>Обложка</v>
      </c>
      <c r="V150" s="28" t="str">
        <f>HYPERLINK("https://znanium.ru/catalog/product/1941763", "Ознакомиться")</f>
        <v>Ознакомиться</v>
      </c>
      <c r="W150" s="8" t="s">
        <v>47</v>
      </c>
      <c r="X150" s="6"/>
      <c r="Y150" s="6"/>
      <c r="Z150" s="6"/>
      <c r="AA150" s="6" t="s">
        <v>198</v>
      </c>
    </row>
    <row r="151" spans="1:27" s="4" customFormat="1" ht="51.95" customHeight="1">
      <c r="A151" s="5">
        <v>0</v>
      </c>
      <c r="B151" s="6" t="s">
        <v>996</v>
      </c>
      <c r="C151" s="7">
        <v>1190</v>
      </c>
      <c r="D151" s="8" t="s">
        <v>997</v>
      </c>
      <c r="E151" s="8" t="s">
        <v>998</v>
      </c>
      <c r="F151" s="8" t="s">
        <v>999</v>
      </c>
      <c r="G151" s="6" t="s">
        <v>52</v>
      </c>
      <c r="H151" s="6" t="s">
        <v>38</v>
      </c>
      <c r="I151" s="8" t="s">
        <v>64</v>
      </c>
      <c r="J151" s="9">
        <v>1</v>
      </c>
      <c r="K151" s="9">
        <v>256</v>
      </c>
      <c r="L151" s="9">
        <v>2024</v>
      </c>
      <c r="M151" s="8" t="s">
        <v>1000</v>
      </c>
      <c r="N151" s="8" t="s">
        <v>41</v>
      </c>
      <c r="O151" s="8" t="s">
        <v>42</v>
      </c>
      <c r="P151" s="6" t="s">
        <v>43</v>
      </c>
      <c r="Q151" s="8" t="s">
        <v>44</v>
      </c>
      <c r="R151" s="10" t="s">
        <v>1001</v>
      </c>
      <c r="S151" s="11" t="s">
        <v>1002</v>
      </c>
      <c r="T151" s="6" t="s">
        <v>145</v>
      </c>
      <c r="U151" s="28" t="str">
        <f>HYPERLINK("https://media.infra-m.ru/2065/2065549/cover/2065549.jpg", "Обложка")</f>
        <v>Обложка</v>
      </c>
      <c r="V151" s="28" t="str">
        <f>HYPERLINK("https://znanium.ru/catalog/product/2065549", "Ознакомиться")</f>
        <v>Ознакомиться</v>
      </c>
      <c r="W151" s="8" t="s">
        <v>47</v>
      </c>
      <c r="X151" s="6"/>
      <c r="Y151" s="6"/>
      <c r="Z151" s="6"/>
      <c r="AA151" s="6" t="s">
        <v>48</v>
      </c>
    </row>
    <row r="152" spans="1:27" s="4" customFormat="1" ht="51.95" customHeight="1">
      <c r="A152" s="5">
        <v>0</v>
      </c>
      <c r="B152" s="6" t="s">
        <v>1003</v>
      </c>
      <c r="C152" s="7">
        <v>1080</v>
      </c>
      <c r="D152" s="8" t="s">
        <v>1004</v>
      </c>
      <c r="E152" s="8" t="s">
        <v>998</v>
      </c>
      <c r="F152" s="8" t="s">
        <v>1005</v>
      </c>
      <c r="G152" s="6" t="s">
        <v>37</v>
      </c>
      <c r="H152" s="6" t="s">
        <v>38</v>
      </c>
      <c r="I152" s="8" t="s">
        <v>81</v>
      </c>
      <c r="J152" s="9">
        <v>1</v>
      </c>
      <c r="K152" s="9">
        <v>215</v>
      </c>
      <c r="L152" s="9">
        <v>2024</v>
      </c>
      <c r="M152" s="8" t="s">
        <v>1006</v>
      </c>
      <c r="N152" s="8" t="s">
        <v>41</v>
      </c>
      <c r="O152" s="8" t="s">
        <v>42</v>
      </c>
      <c r="P152" s="6" t="s">
        <v>43</v>
      </c>
      <c r="Q152" s="8" t="s">
        <v>83</v>
      </c>
      <c r="R152" s="10" t="s">
        <v>1007</v>
      </c>
      <c r="S152" s="11" t="s">
        <v>1008</v>
      </c>
      <c r="T152" s="6"/>
      <c r="U152" s="28" t="str">
        <f>HYPERLINK("https://media.infra-m.ru/2127/2127016/cover/2127016.jpg", "Обложка")</f>
        <v>Обложка</v>
      </c>
      <c r="V152" s="28" t="str">
        <f>HYPERLINK("https://znanium.ru/catalog/product/2127016", "Ознакомиться")</f>
        <v>Ознакомиться</v>
      </c>
      <c r="W152" s="8" t="s">
        <v>86</v>
      </c>
      <c r="X152" s="6" t="s">
        <v>988</v>
      </c>
      <c r="Y152" s="6"/>
      <c r="Z152" s="6"/>
      <c r="AA152" s="6" t="s">
        <v>88</v>
      </c>
    </row>
    <row r="153" spans="1:27" s="4" customFormat="1" ht="51.95" customHeight="1">
      <c r="A153" s="5">
        <v>0</v>
      </c>
      <c r="B153" s="6" t="s">
        <v>1009</v>
      </c>
      <c r="C153" s="7">
        <v>1650</v>
      </c>
      <c r="D153" s="8" t="s">
        <v>1010</v>
      </c>
      <c r="E153" s="8" t="s">
        <v>1011</v>
      </c>
      <c r="F153" s="8" t="s">
        <v>1012</v>
      </c>
      <c r="G153" s="6" t="s">
        <v>52</v>
      </c>
      <c r="H153" s="6" t="s">
        <v>38</v>
      </c>
      <c r="I153" s="8" t="s">
        <v>39</v>
      </c>
      <c r="J153" s="9">
        <v>1</v>
      </c>
      <c r="K153" s="9">
        <v>365</v>
      </c>
      <c r="L153" s="9">
        <v>2023</v>
      </c>
      <c r="M153" s="8" t="s">
        <v>1013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1014</v>
      </c>
      <c r="S153" s="11" t="s">
        <v>1015</v>
      </c>
      <c r="T153" s="6"/>
      <c r="U153" s="28" t="str">
        <f>HYPERLINK("https://media.infra-m.ru/1991/1991054/cover/1991054.jpg", "Обложка")</f>
        <v>Обложка</v>
      </c>
      <c r="V153" s="28" t="str">
        <f>HYPERLINK("https://znanium.ru/catalog/product/1991054", "Ознакомиться")</f>
        <v>Ознакомиться</v>
      </c>
      <c r="W153" s="8" t="s">
        <v>47</v>
      </c>
      <c r="X153" s="6"/>
      <c r="Y153" s="6"/>
      <c r="Z153" s="6"/>
      <c r="AA153" s="6" t="s">
        <v>163</v>
      </c>
    </row>
    <row r="154" spans="1:27" s="4" customFormat="1" ht="51.95" customHeight="1">
      <c r="A154" s="5">
        <v>0</v>
      </c>
      <c r="B154" s="6" t="s">
        <v>1016</v>
      </c>
      <c r="C154" s="13">
        <v>874.9</v>
      </c>
      <c r="D154" s="8" t="s">
        <v>1017</v>
      </c>
      <c r="E154" s="8" t="s">
        <v>1018</v>
      </c>
      <c r="F154" s="8" t="s">
        <v>1019</v>
      </c>
      <c r="G154" s="6" t="s">
        <v>37</v>
      </c>
      <c r="H154" s="6" t="s">
        <v>38</v>
      </c>
      <c r="I154" s="8" t="s">
        <v>39</v>
      </c>
      <c r="J154" s="9">
        <v>1</v>
      </c>
      <c r="K154" s="9">
        <v>400</v>
      </c>
      <c r="L154" s="9">
        <v>2016</v>
      </c>
      <c r="M154" s="8" t="s">
        <v>1020</v>
      </c>
      <c r="N154" s="8" t="s">
        <v>41</v>
      </c>
      <c r="O154" s="8" t="s">
        <v>42</v>
      </c>
      <c r="P154" s="6" t="s">
        <v>43</v>
      </c>
      <c r="Q154" s="8" t="s">
        <v>44</v>
      </c>
      <c r="R154" s="10" t="s">
        <v>1021</v>
      </c>
      <c r="S154" s="11" t="s">
        <v>1022</v>
      </c>
      <c r="T154" s="6"/>
      <c r="U154" s="28" t="str">
        <f>HYPERLINK("https://media.infra-m.ru/0558/0558483/cover/558483.jpg", "Обложка")</f>
        <v>Обложка</v>
      </c>
      <c r="V154" s="28" t="str">
        <f>HYPERLINK("https://znanium.ru/catalog/product/558483", "Ознакомиться")</f>
        <v>Ознакомиться</v>
      </c>
      <c r="W154" s="8" t="s">
        <v>294</v>
      </c>
      <c r="X154" s="6"/>
      <c r="Y154" s="6"/>
      <c r="Z154" s="6"/>
      <c r="AA154" s="6" t="s">
        <v>1023</v>
      </c>
    </row>
    <row r="155" spans="1:27" s="4" customFormat="1" ht="51.95" customHeight="1">
      <c r="A155" s="5">
        <v>0</v>
      </c>
      <c r="B155" s="6" t="s">
        <v>1024</v>
      </c>
      <c r="C155" s="7">
        <v>1070</v>
      </c>
      <c r="D155" s="8" t="s">
        <v>1025</v>
      </c>
      <c r="E155" s="8" t="s">
        <v>1026</v>
      </c>
      <c r="F155" s="8" t="s">
        <v>105</v>
      </c>
      <c r="G155" s="6" t="s">
        <v>52</v>
      </c>
      <c r="H155" s="6" t="s">
        <v>38</v>
      </c>
      <c r="I155" s="8" t="s">
        <v>484</v>
      </c>
      <c r="J155" s="9">
        <v>1</v>
      </c>
      <c r="K155" s="9">
        <v>232</v>
      </c>
      <c r="L155" s="9">
        <v>2023</v>
      </c>
      <c r="M155" s="8" t="s">
        <v>1027</v>
      </c>
      <c r="N155" s="8" t="s">
        <v>41</v>
      </c>
      <c r="O155" s="8" t="s">
        <v>42</v>
      </c>
      <c r="P155" s="6" t="s">
        <v>43</v>
      </c>
      <c r="Q155" s="8" t="s">
        <v>233</v>
      </c>
      <c r="R155" s="10" t="s">
        <v>152</v>
      </c>
      <c r="S155" s="11" t="s">
        <v>1028</v>
      </c>
      <c r="T155" s="6" t="s">
        <v>145</v>
      </c>
      <c r="U155" s="28" t="str">
        <f>HYPERLINK("https://media.infra-m.ru/2126/2126461/cover/2126461.jpg", "Обложка")</f>
        <v>Обложка</v>
      </c>
      <c r="V155" s="28" t="str">
        <f>HYPERLINK("https://znanium.ru/catalog/product/1009783", "Ознакомиться")</f>
        <v>Ознакомиться</v>
      </c>
      <c r="W155" s="8" t="s">
        <v>111</v>
      </c>
      <c r="X155" s="6"/>
      <c r="Y155" s="6"/>
      <c r="Z155" s="6"/>
      <c r="AA155" s="6" t="s">
        <v>163</v>
      </c>
    </row>
    <row r="156" spans="1:27" s="4" customFormat="1" ht="51.95" customHeight="1">
      <c r="A156" s="5">
        <v>0</v>
      </c>
      <c r="B156" s="6" t="s">
        <v>1029</v>
      </c>
      <c r="C156" s="7">
        <v>1924</v>
      </c>
      <c r="D156" s="8" t="s">
        <v>1030</v>
      </c>
      <c r="E156" s="8" t="s">
        <v>1031</v>
      </c>
      <c r="F156" s="8" t="s">
        <v>1032</v>
      </c>
      <c r="G156" s="6" t="s">
        <v>37</v>
      </c>
      <c r="H156" s="6" t="s">
        <v>38</v>
      </c>
      <c r="I156" s="8" t="s">
        <v>39</v>
      </c>
      <c r="J156" s="9">
        <v>1</v>
      </c>
      <c r="K156" s="9">
        <v>248</v>
      </c>
      <c r="L156" s="9">
        <v>2023</v>
      </c>
      <c r="M156" s="8" t="s">
        <v>1033</v>
      </c>
      <c r="N156" s="8" t="s">
        <v>41</v>
      </c>
      <c r="O156" s="8" t="s">
        <v>42</v>
      </c>
      <c r="P156" s="6" t="s">
        <v>43</v>
      </c>
      <c r="Q156" s="8" t="s">
        <v>44</v>
      </c>
      <c r="R156" s="10" t="s">
        <v>1034</v>
      </c>
      <c r="S156" s="11" t="s">
        <v>1035</v>
      </c>
      <c r="T156" s="6"/>
      <c r="U156" s="28" t="str">
        <f>HYPERLINK("https://media.infra-m.ru/1981/1981661/cover/1981661.jpg", "Обложка")</f>
        <v>Обложка</v>
      </c>
      <c r="V156" s="28" t="str">
        <f>HYPERLINK("https://znanium.ru/catalog/product/1012462", "Ознакомиться")</f>
        <v>Ознакомиться</v>
      </c>
      <c r="W156" s="8" t="s">
        <v>47</v>
      </c>
      <c r="X156" s="6"/>
      <c r="Y156" s="6"/>
      <c r="Z156" s="6"/>
      <c r="AA156" s="6" t="s">
        <v>48</v>
      </c>
    </row>
    <row r="157" spans="1:27" s="4" customFormat="1" ht="51.95" customHeight="1">
      <c r="A157" s="5">
        <v>0</v>
      </c>
      <c r="B157" s="6" t="s">
        <v>1036</v>
      </c>
      <c r="C157" s="7">
        <v>1574</v>
      </c>
      <c r="D157" s="8" t="s">
        <v>1037</v>
      </c>
      <c r="E157" s="8" t="s">
        <v>1038</v>
      </c>
      <c r="F157" s="8" t="s">
        <v>1039</v>
      </c>
      <c r="G157" s="6" t="s">
        <v>52</v>
      </c>
      <c r="H157" s="6" t="s">
        <v>38</v>
      </c>
      <c r="I157" s="8" t="s">
        <v>484</v>
      </c>
      <c r="J157" s="9">
        <v>1</v>
      </c>
      <c r="K157" s="9">
        <v>336</v>
      </c>
      <c r="L157" s="9">
        <v>2024</v>
      </c>
      <c r="M157" s="8" t="s">
        <v>1040</v>
      </c>
      <c r="N157" s="8" t="s">
        <v>41</v>
      </c>
      <c r="O157" s="8" t="s">
        <v>42</v>
      </c>
      <c r="P157" s="6" t="s">
        <v>43</v>
      </c>
      <c r="Q157" s="8" t="s">
        <v>233</v>
      </c>
      <c r="R157" s="10" t="s">
        <v>310</v>
      </c>
      <c r="S157" s="11" t="s">
        <v>1041</v>
      </c>
      <c r="T157" s="6"/>
      <c r="U157" s="28" t="str">
        <f>HYPERLINK("https://media.infra-m.ru/2149/2149194/cover/2149194.jpg", "Обложка")</f>
        <v>Обложка</v>
      </c>
      <c r="V157" s="28" t="str">
        <f>HYPERLINK("https://znanium.ru/catalog/product/1881006", "Ознакомиться")</f>
        <v>Ознакомиться</v>
      </c>
      <c r="W157" s="8" t="s">
        <v>162</v>
      </c>
      <c r="X157" s="6"/>
      <c r="Y157" s="6"/>
      <c r="Z157" s="6"/>
      <c r="AA157" s="6" t="s">
        <v>48</v>
      </c>
    </row>
    <row r="158" spans="1:27" s="4" customFormat="1" ht="51.95" customHeight="1">
      <c r="A158" s="5">
        <v>0</v>
      </c>
      <c r="B158" s="6" t="s">
        <v>1042</v>
      </c>
      <c r="C158" s="7">
        <v>1330</v>
      </c>
      <c r="D158" s="8" t="s">
        <v>1043</v>
      </c>
      <c r="E158" s="8" t="s">
        <v>1044</v>
      </c>
      <c r="F158" s="8" t="s">
        <v>1045</v>
      </c>
      <c r="G158" s="6" t="s">
        <v>52</v>
      </c>
      <c r="H158" s="6" t="s">
        <v>126</v>
      </c>
      <c r="I158" s="8" t="s">
        <v>53</v>
      </c>
      <c r="J158" s="9">
        <v>1</v>
      </c>
      <c r="K158" s="9">
        <v>288</v>
      </c>
      <c r="L158" s="9">
        <v>2024</v>
      </c>
      <c r="M158" s="8" t="s">
        <v>1046</v>
      </c>
      <c r="N158" s="8" t="s">
        <v>41</v>
      </c>
      <c r="O158" s="8" t="s">
        <v>42</v>
      </c>
      <c r="P158" s="6" t="s">
        <v>43</v>
      </c>
      <c r="Q158" s="8" t="s">
        <v>55</v>
      </c>
      <c r="R158" s="10" t="s">
        <v>56</v>
      </c>
      <c r="S158" s="11" t="s">
        <v>57</v>
      </c>
      <c r="T158" s="6"/>
      <c r="U158" s="28" t="str">
        <f>HYPERLINK("https://media.infra-m.ru/2083/2083364/cover/2083364.jpg", "Обложка")</f>
        <v>Обложка</v>
      </c>
      <c r="V158" s="28" t="str">
        <f>HYPERLINK("https://znanium.ru/catalog/product/2083364", "Ознакомиться")</f>
        <v>Ознакомиться</v>
      </c>
      <c r="W158" s="8" t="s">
        <v>130</v>
      </c>
      <c r="X158" s="6"/>
      <c r="Y158" s="6"/>
      <c r="Z158" s="6" t="s">
        <v>58</v>
      </c>
      <c r="AA158" s="6" t="s">
        <v>59</v>
      </c>
    </row>
    <row r="159" spans="1:27" s="4" customFormat="1" ht="51.95" customHeight="1">
      <c r="A159" s="5">
        <v>0</v>
      </c>
      <c r="B159" s="6" t="s">
        <v>1047</v>
      </c>
      <c r="C159" s="7">
        <v>1370</v>
      </c>
      <c r="D159" s="8" t="s">
        <v>1048</v>
      </c>
      <c r="E159" s="8" t="s">
        <v>1044</v>
      </c>
      <c r="F159" s="8" t="s">
        <v>1045</v>
      </c>
      <c r="G159" s="6" t="s">
        <v>52</v>
      </c>
      <c r="H159" s="6" t="s">
        <v>126</v>
      </c>
      <c r="I159" s="8" t="s">
        <v>64</v>
      </c>
      <c r="J159" s="9">
        <v>1</v>
      </c>
      <c r="K159" s="9">
        <v>288</v>
      </c>
      <c r="L159" s="9">
        <v>2024</v>
      </c>
      <c r="M159" s="8" t="s">
        <v>1049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1050</v>
      </c>
      <c r="S159" s="11" t="s">
        <v>1051</v>
      </c>
      <c r="T159" s="6"/>
      <c r="U159" s="28" t="str">
        <f>HYPERLINK("https://media.infra-m.ru/1899/1899882/cover/1899882.jpg", "Обложка")</f>
        <v>Обложка</v>
      </c>
      <c r="V159" s="28" t="str">
        <f>HYPERLINK("https://znanium.ru/catalog/product/1899882", "Ознакомиться")</f>
        <v>Ознакомиться</v>
      </c>
      <c r="W159" s="8" t="s">
        <v>130</v>
      </c>
      <c r="X159" s="6"/>
      <c r="Y159" s="6"/>
      <c r="Z159" s="6"/>
      <c r="AA159" s="6" t="s">
        <v>1052</v>
      </c>
    </row>
    <row r="160" spans="1:27" s="4" customFormat="1" ht="51.95" customHeight="1">
      <c r="A160" s="5">
        <v>0</v>
      </c>
      <c r="B160" s="6" t="s">
        <v>1053</v>
      </c>
      <c r="C160" s="13">
        <v>814.9</v>
      </c>
      <c r="D160" s="8" t="s">
        <v>1054</v>
      </c>
      <c r="E160" s="8" t="s">
        <v>1055</v>
      </c>
      <c r="F160" s="8" t="s">
        <v>1056</v>
      </c>
      <c r="G160" s="6" t="s">
        <v>117</v>
      </c>
      <c r="H160" s="6" t="s">
        <v>126</v>
      </c>
      <c r="I160" s="8" t="s">
        <v>39</v>
      </c>
      <c r="J160" s="9">
        <v>1</v>
      </c>
      <c r="K160" s="9">
        <v>272</v>
      </c>
      <c r="L160" s="9">
        <v>2019</v>
      </c>
      <c r="M160" s="8" t="s">
        <v>1057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1058</v>
      </c>
      <c r="S160" s="11" t="s">
        <v>1059</v>
      </c>
      <c r="T160" s="6"/>
      <c r="U160" s="28" t="str">
        <f>HYPERLINK("https://media.infra-m.ru/1009/1009621/cover/1009621.jpg", "Обложка")</f>
        <v>Обложка</v>
      </c>
      <c r="V160" s="28" t="str">
        <f>HYPERLINK("https://znanium.ru/catalog/product/1079438", "Ознакомиться")</f>
        <v>Ознакомиться</v>
      </c>
      <c r="W160" s="8" t="s">
        <v>47</v>
      </c>
      <c r="X160" s="6"/>
      <c r="Y160" s="6"/>
      <c r="Z160" s="6"/>
      <c r="AA160" s="6" t="s">
        <v>96</v>
      </c>
    </row>
    <row r="161" spans="1:27" s="4" customFormat="1" ht="51.95" customHeight="1">
      <c r="A161" s="5">
        <v>0</v>
      </c>
      <c r="B161" s="6" t="s">
        <v>1060</v>
      </c>
      <c r="C161" s="7">
        <v>1250</v>
      </c>
      <c r="D161" s="8" t="s">
        <v>1061</v>
      </c>
      <c r="E161" s="8" t="s">
        <v>1062</v>
      </c>
      <c r="F161" s="8" t="s">
        <v>1012</v>
      </c>
      <c r="G161" s="6" t="s">
        <v>37</v>
      </c>
      <c r="H161" s="6" t="s">
        <v>38</v>
      </c>
      <c r="I161" s="8" t="s">
        <v>64</v>
      </c>
      <c r="J161" s="9">
        <v>1</v>
      </c>
      <c r="K161" s="9">
        <v>272</v>
      </c>
      <c r="L161" s="9">
        <v>2023</v>
      </c>
      <c r="M161" s="8" t="s">
        <v>1063</v>
      </c>
      <c r="N161" s="8" t="s">
        <v>41</v>
      </c>
      <c r="O161" s="8" t="s">
        <v>42</v>
      </c>
      <c r="P161" s="6" t="s">
        <v>43</v>
      </c>
      <c r="Q161" s="8" t="s">
        <v>44</v>
      </c>
      <c r="R161" s="10" t="s">
        <v>1058</v>
      </c>
      <c r="S161" s="11" t="s">
        <v>1064</v>
      </c>
      <c r="T161" s="6"/>
      <c r="U161" s="28" t="str">
        <f>HYPERLINK("https://media.infra-m.ru/1079/1079438/cover/1079438.jpg", "Обложка")</f>
        <v>Обложка</v>
      </c>
      <c r="V161" s="28" t="str">
        <f>HYPERLINK("https://znanium.ru/catalog/product/1079438", "Ознакомиться")</f>
        <v>Ознакомиться</v>
      </c>
      <c r="W161" s="8" t="s">
        <v>47</v>
      </c>
      <c r="X161" s="6" t="s">
        <v>1065</v>
      </c>
      <c r="Y161" s="6"/>
      <c r="Z161" s="6"/>
      <c r="AA161" s="6" t="s">
        <v>1066</v>
      </c>
    </row>
    <row r="162" spans="1:27" s="4" customFormat="1" ht="51.95" customHeight="1">
      <c r="A162" s="5">
        <v>0</v>
      </c>
      <c r="B162" s="6" t="s">
        <v>1067</v>
      </c>
      <c r="C162" s="7">
        <v>2244.9</v>
      </c>
      <c r="D162" s="8" t="s">
        <v>1068</v>
      </c>
      <c r="E162" s="8" t="s">
        <v>1069</v>
      </c>
      <c r="F162" s="8" t="s">
        <v>1070</v>
      </c>
      <c r="G162" s="6" t="s">
        <v>37</v>
      </c>
      <c r="H162" s="6" t="s">
        <v>255</v>
      </c>
      <c r="I162" s="8"/>
      <c r="J162" s="9">
        <v>1</v>
      </c>
      <c r="K162" s="9">
        <v>384</v>
      </c>
      <c r="L162" s="9">
        <v>2023</v>
      </c>
      <c r="M162" s="8" t="s">
        <v>1071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1072</v>
      </c>
      <c r="S162" s="11" t="s">
        <v>1073</v>
      </c>
      <c r="T162" s="6"/>
      <c r="U162" s="28" t="str">
        <f>HYPERLINK("https://media.infra-m.ru/1838/1838258/cover/1838258.jpg", "Обложка")</f>
        <v>Обложка</v>
      </c>
      <c r="V162" s="28" t="str">
        <f>HYPERLINK("https://znanium.ru/catalog/product/947797", "Ознакомиться")</f>
        <v>Ознакомиться</v>
      </c>
      <c r="W162" s="8" t="s">
        <v>47</v>
      </c>
      <c r="X162" s="6"/>
      <c r="Y162" s="6"/>
      <c r="Z162" s="6"/>
      <c r="AA162" s="6" t="s">
        <v>96</v>
      </c>
    </row>
    <row r="163" spans="1:27" s="4" customFormat="1" ht="51.95" customHeight="1">
      <c r="A163" s="5">
        <v>0</v>
      </c>
      <c r="B163" s="6" t="s">
        <v>1074</v>
      </c>
      <c r="C163" s="13">
        <v>890</v>
      </c>
      <c r="D163" s="8" t="s">
        <v>1075</v>
      </c>
      <c r="E163" s="8" t="s">
        <v>1076</v>
      </c>
      <c r="F163" s="8" t="s">
        <v>464</v>
      </c>
      <c r="G163" s="6" t="s">
        <v>52</v>
      </c>
      <c r="H163" s="6" t="s">
        <v>255</v>
      </c>
      <c r="I163" s="8" t="s">
        <v>39</v>
      </c>
      <c r="J163" s="9">
        <v>1</v>
      </c>
      <c r="K163" s="9">
        <v>186</v>
      </c>
      <c r="L163" s="9">
        <v>2024</v>
      </c>
      <c r="M163" s="8" t="s">
        <v>1077</v>
      </c>
      <c r="N163" s="8" t="s">
        <v>41</v>
      </c>
      <c r="O163" s="8" t="s">
        <v>42</v>
      </c>
      <c r="P163" s="6" t="s">
        <v>66</v>
      </c>
      <c r="Q163" s="8" t="s">
        <v>44</v>
      </c>
      <c r="R163" s="10" t="s">
        <v>1078</v>
      </c>
      <c r="S163" s="11" t="s">
        <v>1079</v>
      </c>
      <c r="T163" s="6"/>
      <c r="U163" s="28" t="str">
        <f>HYPERLINK("https://media.infra-m.ru/2131/2131187/cover/2131187.jpg", "Обложка")</f>
        <v>Обложка</v>
      </c>
      <c r="V163" s="28" t="str">
        <f>HYPERLINK("https://znanium.ru/catalog/product/2131187", "Ознакомиться")</f>
        <v>Ознакомиться</v>
      </c>
      <c r="W163" s="8" t="s">
        <v>466</v>
      </c>
      <c r="X163" s="6"/>
      <c r="Y163" s="6"/>
      <c r="Z163" s="6"/>
      <c r="AA163" s="6" t="s">
        <v>163</v>
      </c>
    </row>
    <row r="164" spans="1:27" s="4" customFormat="1" ht="51.95" customHeight="1">
      <c r="A164" s="5">
        <v>0</v>
      </c>
      <c r="B164" s="6" t="s">
        <v>1080</v>
      </c>
      <c r="C164" s="7">
        <v>1920</v>
      </c>
      <c r="D164" s="8" t="s">
        <v>1081</v>
      </c>
      <c r="E164" s="8" t="s">
        <v>1082</v>
      </c>
      <c r="F164" s="8" t="s">
        <v>870</v>
      </c>
      <c r="G164" s="6" t="s">
        <v>37</v>
      </c>
      <c r="H164" s="6" t="s">
        <v>38</v>
      </c>
      <c r="I164" s="8" t="s">
        <v>81</v>
      </c>
      <c r="J164" s="9">
        <v>1</v>
      </c>
      <c r="K164" s="9">
        <v>405</v>
      </c>
      <c r="L164" s="9">
        <v>2024</v>
      </c>
      <c r="M164" s="8" t="s">
        <v>1083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1078</v>
      </c>
      <c r="S164" s="11" t="s">
        <v>1008</v>
      </c>
      <c r="T164" s="6"/>
      <c r="U164" s="28" t="str">
        <f>HYPERLINK("https://media.infra-m.ru/2116/2116150/cover/2116150.jpg", "Обложка")</f>
        <v>Обложка</v>
      </c>
      <c r="V164" s="28" t="str">
        <f>HYPERLINK("https://znanium.ru/catalog/product/2116150", "Ознакомиться")</f>
        <v>Ознакомиться</v>
      </c>
      <c r="W164" s="8" t="s">
        <v>86</v>
      </c>
      <c r="X164" s="6" t="s">
        <v>988</v>
      </c>
      <c r="Y164" s="6"/>
      <c r="Z164" s="6"/>
      <c r="AA164" s="6" t="s">
        <v>88</v>
      </c>
    </row>
    <row r="165" spans="1:27" s="4" customFormat="1" ht="42" customHeight="1">
      <c r="A165" s="5">
        <v>0</v>
      </c>
      <c r="B165" s="6" t="s">
        <v>1084</v>
      </c>
      <c r="C165" s="13">
        <v>830</v>
      </c>
      <c r="D165" s="8" t="s">
        <v>1085</v>
      </c>
      <c r="E165" s="8" t="s">
        <v>1086</v>
      </c>
      <c r="F165" s="8" t="s">
        <v>1087</v>
      </c>
      <c r="G165" s="6" t="s">
        <v>117</v>
      </c>
      <c r="H165" s="6" t="s">
        <v>38</v>
      </c>
      <c r="I165" s="8" t="s">
        <v>106</v>
      </c>
      <c r="J165" s="9">
        <v>1</v>
      </c>
      <c r="K165" s="9">
        <v>176</v>
      </c>
      <c r="L165" s="9">
        <v>2024</v>
      </c>
      <c r="M165" s="8" t="s">
        <v>1088</v>
      </c>
      <c r="N165" s="8" t="s">
        <v>41</v>
      </c>
      <c r="O165" s="8" t="s">
        <v>42</v>
      </c>
      <c r="P165" s="6" t="s">
        <v>108</v>
      </c>
      <c r="Q165" s="8" t="s">
        <v>109</v>
      </c>
      <c r="R165" s="10" t="s">
        <v>152</v>
      </c>
      <c r="S165" s="11"/>
      <c r="T165" s="6"/>
      <c r="U165" s="28" t="str">
        <f>HYPERLINK("https://media.infra-m.ru/2129/2129182/cover/2129182.jpg", "Обложка")</f>
        <v>Обложка</v>
      </c>
      <c r="V165" s="28" t="str">
        <f>HYPERLINK("https://znanium.ru/catalog/product/2129182", "Ознакомиться")</f>
        <v>Ознакомиться</v>
      </c>
      <c r="W165" s="8" t="s">
        <v>120</v>
      </c>
      <c r="X165" s="6"/>
      <c r="Y165" s="6"/>
      <c r="Z165" s="6"/>
      <c r="AA165" s="6" t="s">
        <v>163</v>
      </c>
    </row>
    <row r="166" spans="1:27" s="4" customFormat="1" ht="51.95" customHeight="1">
      <c r="A166" s="5">
        <v>0</v>
      </c>
      <c r="B166" s="6" t="s">
        <v>1089</v>
      </c>
      <c r="C166" s="7">
        <v>1760</v>
      </c>
      <c r="D166" s="8" t="s">
        <v>1090</v>
      </c>
      <c r="E166" s="8" t="s">
        <v>1091</v>
      </c>
      <c r="F166" s="8" t="s">
        <v>1092</v>
      </c>
      <c r="G166" s="6" t="s">
        <v>52</v>
      </c>
      <c r="H166" s="6" t="s">
        <v>38</v>
      </c>
      <c r="I166" s="8" t="s">
        <v>39</v>
      </c>
      <c r="J166" s="9">
        <v>1</v>
      </c>
      <c r="K166" s="9">
        <v>389</v>
      </c>
      <c r="L166" s="9">
        <v>2023</v>
      </c>
      <c r="M166" s="8" t="s">
        <v>1093</v>
      </c>
      <c r="N166" s="8" t="s">
        <v>41</v>
      </c>
      <c r="O166" s="8" t="s">
        <v>42</v>
      </c>
      <c r="P166" s="6" t="s">
        <v>66</v>
      </c>
      <c r="Q166" s="8" t="s">
        <v>44</v>
      </c>
      <c r="R166" s="10" t="s">
        <v>1094</v>
      </c>
      <c r="S166" s="11" t="s">
        <v>1095</v>
      </c>
      <c r="T166" s="6" t="s">
        <v>145</v>
      </c>
      <c r="U166" s="28" t="str">
        <f>HYPERLINK("https://media.infra-m.ru/1908/1908802/cover/1908802.jpg", "Обложка")</f>
        <v>Обложка</v>
      </c>
      <c r="V166" s="28" t="str">
        <f>HYPERLINK("https://znanium.ru/catalog/product/1908802", "Ознакомиться")</f>
        <v>Ознакомиться</v>
      </c>
      <c r="W166" s="8" t="s">
        <v>111</v>
      </c>
      <c r="X166" s="6"/>
      <c r="Y166" s="6"/>
      <c r="Z166" s="6"/>
      <c r="AA166" s="6" t="s">
        <v>59</v>
      </c>
    </row>
    <row r="167" spans="1:27" s="4" customFormat="1" ht="51.95" customHeight="1">
      <c r="A167" s="5">
        <v>0</v>
      </c>
      <c r="B167" s="6" t="s">
        <v>1096</v>
      </c>
      <c r="C167" s="7">
        <v>1804</v>
      </c>
      <c r="D167" s="8" t="s">
        <v>1097</v>
      </c>
      <c r="E167" s="8" t="s">
        <v>1098</v>
      </c>
      <c r="F167" s="8" t="s">
        <v>1099</v>
      </c>
      <c r="G167" s="6" t="s">
        <v>37</v>
      </c>
      <c r="H167" s="6" t="s">
        <v>38</v>
      </c>
      <c r="I167" s="8" t="s">
        <v>39</v>
      </c>
      <c r="J167" s="9">
        <v>1</v>
      </c>
      <c r="K167" s="9">
        <v>383</v>
      </c>
      <c r="L167" s="9">
        <v>2024</v>
      </c>
      <c r="M167" s="8" t="s">
        <v>1100</v>
      </c>
      <c r="N167" s="8" t="s">
        <v>41</v>
      </c>
      <c r="O167" s="8" t="s">
        <v>42</v>
      </c>
      <c r="P167" s="6" t="s">
        <v>66</v>
      </c>
      <c r="Q167" s="8" t="s">
        <v>44</v>
      </c>
      <c r="R167" s="10" t="s">
        <v>597</v>
      </c>
      <c r="S167" s="11" t="s">
        <v>1101</v>
      </c>
      <c r="T167" s="6"/>
      <c r="U167" s="28" t="str">
        <f>HYPERLINK("https://media.infra-m.ru/2139/2139939/cover/2139939.jpg", "Обложка")</f>
        <v>Обложка</v>
      </c>
      <c r="V167" s="28" t="str">
        <f>HYPERLINK("https://znanium.ru/catalog/product/1838260", "Ознакомиться")</f>
        <v>Ознакомиться</v>
      </c>
      <c r="W167" s="8" t="s">
        <v>759</v>
      </c>
      <c r="X167" s="6"/>
      <c r="Y167" s="6"/>
      <c r="Z167" s="6"/>
      <c r="AA167" s="6" t="s">
        <v>153</v>
      </c>
    </row>
    <row r="168" spans="1:27" s="4" customFormat="1" ht="42" customHeight="1">
      <c r="A168" s="5">
        <v>0</v>
      </c>
      <c r="B168" s="6" t="s">
        <v>1102</v>
      </c>
      <c r="C168" s="7">
        <v>1180</v>
      </c>
      <c r="D168" s="8" t="s">
        <v>1103</v>
      </c>
      <c r="E168" s="8" t="s">
        <v>1104</v>
      </c>
      <c r="F168" s="8" t="s">
        <v>1105</v>
      </c>
      <c r="G168" s="6" t="s">
        <v>52</v>
      </c>
      <c r="H168" s="6" t="s">
        <v>255</v>
      </c>
      <c r="I168" s="8"/>
      <c r="J168" s="9">
        <v>1</v>
      </c>
      <c r="K168" s="9">
        <v>256</v>
      </c>
      <c r="L168" s="9">
        <v>2023</v>
      </c>
      <c r="M168" s="8" t="s">
        <v>1106</v>
      </c>
      <c r="N168" s="8" t="s">
        <v>41</v>
      </c>
      <c r="O168" s="8" t="s">
        <v>42</v>
      </c>
      <c r="P168" s="6" t="s">
        <v>66</v>
      </c>
      <c r="Q168" s="8" t="s">
        <v>44</v>
      </c>
      <c r="R168" s="10" t="s">
        <v>972</v>
      </c>
      <c r="S168" s="11"/>
      <c r="T168" s="6"/>
      <c r="U168" s="28" t="str">
        <f>HYPERLINK("https://media.infra-m.ru/2110/2110052/cover/2110052.jpg", "Обложка")</f>
        <v>Обложка</v>
      </c>
      <c r="V168" s="28" t="str">
        <f>HYPERLINK("https://znanium.ru/catalog/product/2110052", "Ознакомиться")</f>
        <v>Ознакомиться</v>
      </c>
      <c r="W168" s="8" t="s">
        <v>466</v>
      </c>
      <c r="X168" s="6"/>
      <c r="Y168" s="6"/>
      <c r="Z168" s="6"/>
      <c r="AA168" s="6" t="s">
        <v>281</v>
      </c>
    </row>
    <row r="169" spans="1:27" s="4" customFormat="1" ht="51.95" customHeight="1">
      <c r="A169" s="5">
        <v>0</v>
      </c>
      <c r="B169" s="6" t="s">
        <v>1107</v>
      </c>
      <c r="C169" s="7">
        <v>1180</v>
      </c>
      <c r="D169" s="8" t="s">
        <v>1108</v>
      </c>
      <c r="E169" s="8" t="s">
        <v>1109</v>
      </c>
      <c r="F169" s="8" t="s">
        <v>214</v>
      </c>
      <c r="G169" s="6" t="s">
        <v>52</v>
      </c>
      <c r="H169" s="6" t="s">
        <v>38</v>
      </c>
      <c r="I169" s="8" t="s">
        <v>64</v>
      </c>
      <c r="J169" s="9">
        <v>1</v>
      </c>
      <c r="K169" s="9">
        <v>255</v>
      </c>
      <c r="L169" s="9">
        <v>2024</v>
      </c>
      <c r="M169" s="8" t="s">
        <v>1110</v>
      </c>
      <c r="N169" s="8" t="s">
        <v>41</v>
      </c>
      <c r="O169" s="8" t="s">
        <v>42</v>
      </c>
      <c r="P169" s="6" t="s">
        <v>43</v>
      </c>
      <c r="Q169" s="8" t="s">
        <v>44</v>
      </c>
      <c r="R169" s="10" t="s">
        <v>795</v>
      </c>
      <c r="S169" s="11" t="s">
        <v>1111</v>
      </c>
      <c r="T169" s="6"/>
      <c r="U169" s="28" t="str">
        <f>HYPERLINK("https://media.infra-m.ru/2107/2107418/cover/2107418.jpg", "Обложка")</f>
        <v>Обложка</v>
      </c>
      <c r="V169" s="28" t="str">
        <f>HYPERLINK("https://znanium.ru/catalog/product/2107418", "Ознакомиться")</f>
        <v>Ознакомиться</v>
      </c>
      <c r="W169" s="8" t="s">
        <v>47</v>
      </c>
      <c r="X169" s="6"/>
      <c r="Y169" s="6"/>
      <c r="Z169" s="6"/>
      <c r="AA169" s="6" t="s">
        <v>96</v>
      </c>
    </row>
    <row r="170" spans="1:27" s="4" customFormat="1" ht="51.95" customHeight="1">
      <c r="A170" s="5">
        <v>0</v>
      </c>
      <c r="B170" s="6" t="s">
        <v>1112</v>
      </c>
      <c r="C170" s="7">
        <v>2790</v>
      </c>
      <c r="D170" s="8" t="s">
        <v>1113</v>
      </c>
      <c r="E170" s="8" t="s">
        <v>1114</v>
      </c>
      <c r="F170" s="8" t="s">
        <v>1115</v>
      </c>
      <c r="G170" s="6" t="s">
        <v>37</v>
      </c>
      <c r="H170" s="6" t="s">
        <v>38</v>
      </c>
      <c r="I170" s="8" t="s">
        <v>39</v>
      </c>
      <c r="J170" s="9">
        <v>1</v>
      </c>
      <c r="K170" s="9">
        <v>608</v>
      </c>
      <c r="L170" s="9">
        <v>2023</v>
      </c>
      <c r="M170" s="8" t="s">
        <v>1116</v>
      </c>
      <c r="N170" s="8" t="s">
        <v>41</v>
      </c>
      <c r="O170" s="8" t="s">
        <v>42</v>
      </c>
      <c r="P170" s="6" t="s">
        <v>66</v>
      </c>
      <c r="Q170" s="8" t="s">
        <v>44</v>
      </c>
      <c r="R170" s="10" t="s">
        <v>795</v>
      </c>
      <c r="S170" s="11" t="s">
        <v>1117</v>
      </c>
      <c r="T170" s="6"/>
      <c r="U170" s="28" t="str">
        <f>HYPERLINK("https://media.infra-m.ru/2126/2126471/cover/2126471.jpg", "Обложка")</f>
        <v>Обложка</v>
      </c>
      <c r="V170" s="28" t="str">
        <f>HYPERLINK("https://znanium.ru/catalog/product/2126471", "Ознакомиться")</f>
        <v>Ознакомиться</v>
      </c>
      <c r="W170" s="8" t="s">
        <v>47</v>
      </c>
      <c r="X170" s="6"/>
      <c r="Y170" s="6"/>
      <c r="Z170" s="6"/>
      <c r="AA170" s="6" t="s">
        <v>163</v>
      </c>
    </row>
    <row r="171" spans="1:27" s="4" customFormat="1" ht="51.95" customHeight="1">
      <c r="A171" s="5">
        <v>0</v>
      </c>
      <c r="B171" s="6" t="s">
        <v>1118</v>
      </c>
      <c r="C171" s="7">
        <v>2390</v>
      </c>
      <c r="D171" s="8" t="s">
        <v>1119</v>
      </c>
      <c r="E171" s="8" t="s">
        <v>1114</v>
      </c>
      <c r="F171" s="8" t="s">
        <v>1120</v>
      </c>
      <c r="G171" s="6" t="s">
        <v>37</v>
      </c>
      <c r="H171" s="6" t="s">
        <v>38</v>
      </c>
      <c r="I171" s="8" t="s">
        <v>64</v>
      </c>
      <c r="J171" s="9">
        <v>1</v>
      </c>
      <c r="K171" s="9">
        <v>612</v>
      </c>
      <c r="L171" s="9">
        <v>2023</v>
      </c>
      <c r="M171" s="8" t="s">
        <v>1121</v>
      </c>
      <c r="N171" s="8" t="s">
        <v>41</v>
      </c>
      <c r="O171" s="8" t="s">
        <v>42</v>
      </c>
      <c r="P171" s="6" t="s">
        <v>66</v>
      </c>
      <c r="Q171" s="8" t="s">
        <v>83</v>
      </c>
      <c r="R171" s="10" t="s">
        <v>450</v>
      </c>
      <c r="S171" s="11" t="s">
        <v>1117</v>
      </c>
      <c r="T171" s="6"/>
      <c r="U171" s="28" t="str">
        <f>HYPERLINK("https://media.infra-m.ru/1913/1913990/cover/1913990.jpg", "Обложка")</f>
        <v>Обложка</v>
      </c>
      <c r="V171" s="28" t="str">
        <f>HYPERLINK("https://znanium.ru/catalog/product/1913990", "Ознакомиться")</f>
        <v>Ознакомиться</v>
      </c>
      <c r="W171" s="8" t="s">
        <v>47</v>
      </c>
      <c r="X171" s="6"/>
      <c r="Y171" s="6"/>
      <c r="Z171" s="6"/>
      <c r="AA171" s="6" t="s">
        <v>163</v>
      </c>
    </row>
    <row r="172" spans="1:27" s="4" customFormat="1" ht="51.95" customHeight="1">
      <c r="A172" s="5">
        <v>0</v>
      </c>
      <c r="B172" s="6" t="s">
        <v>1122</v>
      </c>
      <c r="C172" s="13">
        <v>790</v>
      </c>
      <c r="D172" s="8" t="s">
        <v>1123</v>
      </c>
      <c r="E172" s="8" t="s">
        <v>1124</v>
      </c>
      <c r="F172" s="8" t="s">
        <v>1125</v>
      </c>
      <c r="G172" s="6" t="s">
        <v>52</v>
      </c>
      <c r="H172" s="6" t="s">
        <v>38</v>
      </c>
      <c r="I172" s="8" t="s">
        <v>39</v>
      </c>
      <c r="J172" s="9">
        <v>1</v>
      </c>
      <c r="K172" s="9">
        <v>170</v>
      </c>
      <c r="L172" s="9">
        <v>2023</v>
      </c>
      <c r="M172" s="8" t="s">
        <v>1126</v>
      </c>
      <c r="N172" s="8" t="s">
        <v>41</v>
      </c>
      <c r="O172" s="8" t="s">
        <v>42</v>
      </c>
      <c r="P172" s="6" t="s">
        <v>43</v>
      </c>
      <c r="Q172" s="8" t="s">
        <v>44</v>
      </c>
      <c r="R172" s="10" t="s">
        <v>450</v>
      </c>
      <c r="S172" s="11" t="s">
        <v>914</v>
      </c>
      <c r="T172" s="6"/>
      <c r="U172" s="28" t="str">
        <f>HYPERLINK("https://media.infra-m.ru/2126/2126817/cover/2126817.jpg", "Обложка")</f>
        <v>Обложка</v>
      </c>
      <c r="V172" s="28" t="str">
        <f>HYPERLINK("https://znanium.ru/catalog/product/2126817", "Ознакомиться")</f>
        <v>Ознакомиться</v>
      </c>
      <c r="W172" s="8" t="s">
        <v>294</v>
      </c>
      <c r="X172" s="6"/>
      <c r="Y172" s="6"/>
      <c r="Z172" s="6"/>
      <c r="AA172" s="6" t="s">
        <v>112</v>
      </c>
    </row>
    <row r="173" spans="1:27" s="4" customFormat="1" ht="44.1" customHeight="1">
      <c r="A173" s="5">
        <v>0</v>
      </c>
      <c r="B173" s="6" t="s">
        <v>1127</v>
      </c>
      <c r="C173" s="7">
        <v>1190</v>
      </c>
      <c r="D173" s="8" t="s">
        <v>1128</v>
      </c>
      <c r="E173" s="8" t="s">
        <v>1129</v>
      </c>
      <c r="F173" s="8" t="s">
        <v>181</v>
      </c>
      <c r="G173" s="6" t="s">
        <v>37</v>
      </c>
      <c r="H173" s="6" t="s">
        <v>38</v>
      </c>
      <c r="I173" s="8" t="s">
        <v>64</v>
      </c>
      <c r="J173" s="9">
        <v>1</v>
      </c>
      <c r="K173" s="9">
        <v>245</v>
      </c>
      <c r="L173" s="9">
        <v>2024</v>
      </c>
      <c r="M173" s="8" t="s">
        <v>1130</v>
      </c>
      <c r="N173" s="8" t="s">
        <v>41</v>
      </c>
      <c r="O173" s="8" t="s">
        <v>42</v>
      </c>
      <c r="P173" s="6" t="s">
        <v>43</v>
      </c>
      <c r="Q173" s="8" t="s">
        <v>44</v>
      </c>
      <c r="R173" s="10" t="s">
        <v>1131</v>
      </c>
      <c r="S173" s="11"/>
      <c r="T173" s="6"/>
      <c r="U173" s="28" t="str">
        <f>HYPERLINK("https://media.infra-m.ru/1907/1907722/cover/1907722.jpg", "Обложка")</f>
        <v>Обложка</v>
      </c>
      <c r="V173" s="28" t="str">
        <f>HYPERLINK("https://znanium.ru/catalog/product/1907722", "Ознакомиться")</f>
        <v>Ознакомиться</v>
      </c>
      <c r="W173" s="8" t="s">
        <v>47</v>
      </c>
      <c r="X173" s="6" t="s">
        <v>974</v>
      </c>
      <c r="Y173" s="6"/>
      <c r="Z173" s="6"/>
      <c r="AA173" s="6" t="s">
        <v>88</v>
      </c>
    </row>
    <row r="174" spans="1:27" s="4" customFormat="1" ht="42" customHeight="1">
      <c r="A174" s="5">
        <v>0</v>
      </c>
      <c r="B174" s="6" t="s">
        <v>1132</v>
      </c>
      <c r="C174" s="13">
        <v>770</v>
      </c>
      <c r="D174" s="8" t="s">
        <v>1133</v>
      </c>
      <c r="E174" s="8" t="s">
        <v>1134</v>
      </c>
      <c r="F174" s="8" t="s">
        <v>1135</v>
      </c>
      <c r="G174" s="6" t="s">
        <v>37</v>
      </c>
      <c r="H174" s="6" t="s">
        <v>38</v>
      </c>
      <c r="I174" s="8" t="s">
        <v>1136</v>
      </c>
      <c r="J174" s="9">
        <v>1</v>
      </c>
      <c r="K174" s="9">
        <v>152</v>
      </c>
      <c r="L174" s="9">
        <v>2024</v>
      </c>
      <c r="M174" s="8" t="s">
        <v>1137</v>
      </c>
      <c r="N174" s="8" t="s">
        <v>41</v>
      </c>
      <c r="O174" s="8" t="s">
        <v>42</v>
      </c>
      <c r="P174" s="6" t="s">
        <v>43</v>
      </c>
      <c r="Q174" s="8" t="s">
        <v>44</v>
      </c>
      <c r="R174" s="10" t="s">
        <v>1138</v>
      </c>
      <c r="S174" s="11"/>
      <c r="T174" s="6"/>
      <c r="U174" s="28" t="str">
        <f>HYPERLINK("https://media.infra-m.ru/2125/2125175/cover/2125175.jpg", "Обложка")</f>
        <v>Обложка</v>
      </c>
      <c r="V174" s="12"/>
      <c r="W174" s="8" t="s">
        <v>1139</v>
      </c>
      <c r="X174" s="6" t="s">
        <v>646</v>
      </c>
      <c r="Y174" s="6"/>
      <c r="Z174" s="6"/>
      <c r="AA174" s="6" t="s">
        <v>88</v>
      </c>
    </row>
    <row r="175" spans="1:27" s="4" customFormat="1" ht="51.95" customHeight="1">
      <c r="A175" s="5">
        <v>0</v>
      </c>
      <c r="B175" s="6" t="s">
        <v>1140</v>
      </c>
      <c r="C175" s="7">
        <v>1264.9000000000001</v>
      </c>
      <c r="D175" s="8" t="s">
        <v>1141</v>
      </c>
      <c r="E175" s="8" t="s">
        <v>1142</v>
      </c>
      <c r="F175" s="8" t="s">
        <v>1143</v>
      </c>
      <c r="G175" s="6" t="s">
        <v>52</v>
      </c>
      <c r="H175" s="6" t="s">
        <v>38</v>
      </c>
      <c r="I175" s="8" t="s">
        <v>39</v>
      </c>
      <c r="J175" s="9">
        <v>1</v>
      </c>
      <c r="K175" s="9">
        <v>280</v>
      </c>
      <c r="L175" s="9">
        <v>2023</v>
      </c>
      <c r="M175" s="8" t="s">
        <v>1144</v>
      </c>
      <c r="N175" s="8" t="s">
        <v>41</v>
      </c>
      <c r="O175" s="8" t="s">
        <v>42</v>
      </c>
      <c r="P175" s="6" t="s">
        <v>43</v>
      </c>
      <c r="Q175" s="8" t="s">
        <v>44</v>
      </c>
      <c r="R175" s="10" t="s">
        <v>385</v>
      </c>
      <c r="S175" s="11" t="s">
        <v>1145</v>
      </c>
      <c r="T175" s="6"/>
      <c r="U175" s="28" t="str">
        <f>HYPERLINK("https://media.infra-m.ru/1914/1914084/cover/1914084.jpg", "Обложка")</f>
        <v>Обложка</v>
      </c>
      <c r="V175" s="28" t="str">
        <f>HYPERLINK("https://znanium.ru/catalog/product/1941764", "Ознакомиться")</f>
        <v>Ознакомиться</v>
      </c>
      <c r="W175" s="8" t="s">
        <v>1146</v>
      </c>
      <c r="X175" s="6"/>
      <c r="Y175" s="6"/>
      <c r="Z175" s="6"/>
      <c r="AA175" s="6" t="s">
        <v>96</v>
      </c>
    </row>
    <row r="176" spans="1:27" s="4" customFormat="1" ht="42" customHeight="1">
      <c r="A176" s="5">
        <v>0</v>
      </c>
      <c r="B176" s="6" t="s">
        <v>1147</v>
      </c>
      <c r="C176" s="13">
        <v>800</v>
      </c>
      <c r="D176" s="8" t="s">
        <v>1148</v>
      </c>
      <c r="E176" s="8" t="s">
        <v>1149</v>
      </c>
      <c r="F176" s="8" t="s">
        <v>1150</v>
      </c>
      <c r="G176" s="6" t="s">
        <v>37</v>
      </c>
      <c r="H176" s="6" t="s">
        <v>38</v>
      </c>
      <c r="I176" s="8" t="s">
        <v>64</v>
      </c>
      <c r="J176" s="9">
        <v>1</v>
      </c>
      <c r="K176" s="9">
        <v>162</v>
      </c>
      <c r="L176" s="9">
        <v>2023</v>
      </c>
      <c r="M176" s="8" t="s">
        <v>1151</v>
      </c>
      <c r="N176" s="8" t="s">
        <v>41</v>
      </c>
      <c r="O176" s="8" t="s">
        <v>42</v>
      </c>
      <c r="P176" s="6" t="s">
        <v>43</v>
      </c>
      <c r="Q176" s="8" t="s">
        <v>44</v>
      </c>
      <c r="R176" s="10" t="s">
        <v>1152</v>
      </c>
      <c r="S176" s="11"/>
      <c r="T176" s="6"/>
      <c r="U176" s="28" t="str">
        <f>HYPERLINK("https://media.infra-m.ru/1876/1876534/cover/1876534.jpg", "Обложка")</f>
        <v>Обложка</v>
      </c>
      <c r="V176" s="28" t="str">
        <f>HYPERLINK("https://znanium.ru/catalog/product/1876534", "Ознакомиться")</f>
        <v>Ознакомиться</v>
      </c>
      <c r="W176" s="8" t="s">
        <v>520</v>
      </c>
      <c r="X176" s="6" t="s">
        <v>356</v>
      </c>
      <c r="Y176" s="6"/>
      <c r="Z176" s="6"/>
      <c r="AA176" s="6" t="s">
        <v>184</v>
      </c>
    </row>
    <row r="177" spans="1:27" s="4" customFormat="1" ht="42" customHeight="1">
      <c r="A177" s="5">
        <v>0</v>
      </c>
      <c r="B177" s="6" t="s">
        <v>1153</v>
      </c>
      <c r="C177" s="7">
        <v>1040</v>
      </c>
      <c r="D177" s="8" t="s">
        <v>1154</v>
      </c>
      <c r="E177" s="8" t="s">
        <v>1155</v>
      </c>
      <c r="F177" s="8" t="s">
        <v>1156</v>
      </c>
      <c r="G177" s="6" t="s">
        <v>117</v>
      </c>
      <c r="H177" s="6" t="s">
        <v>38</v>
      </c>
      <c r="I177" s="8" t="s">
        <v>106</v>
      </c>
      <c r="J177" s="9">
        <v>1</v>
      </c>
      <c r="K177" s="9">
        <v>216</v>
      </c>
      <c r="L177" s="9">
        <v>2024</v>
      </c>
      <c r="M177" s="8" t="s">
        <v>1157</v>
      </c>
      <c r="N177" s="8" t="s">
        <v>41</v>
      </c>
      <c r="O177" s="8" t="s">
        <v>42</v>
      </c>
      <c r="P177" s="6" t="s">
        <v>108</v>
      </c>
      <c r="Q177" s="8" t="s">
        <v>109</v>
      </c>
      <c r="R177" s="10" t="s">
        <v>1158</v>
      </c>
      <c r="S177" s="11"/>
      <c r="T177" s="6"/>
      <c r="U177" s="28" t="str">
        <f>HYPERLINK("https://media.infra-m.ru/2061/2061201/cover/2061201.jpg", "Обложка")</f>
        <v>Обложка</v>
      </c>
      <c r="V177" s="28" t="str">
        <f>HYPERLINK("https://znanium.ru/catalog/product/2061201", "Ознакомиться")</f>
        <v>Ознакомиться</v>
      </c>
      <c r="W177" s="8" t="s">
        <v>1159</v>
      </c>
      <c r="X177" s="6" t="s">
        <v>722</v>
      </c>
      <c r="Y177" s="6"/>
      <c r="Z177" s="6"/>
      <c r="AA177" s="6" t="s">
        <v>88</v>
      </c>
    </row>
    <row r="178" spans="1:27" s="4" customFormat="1" ht="51.95" customHeight="1">
      <c r="A178" s="5">
        <v>0</v>
      </c>
      <c r="B178" s="6" t="s">
        <v>1160</v>
      </c>
      <c r="C178" s="13">
        <v>504.9</v>
      </c>
      <c r="D178" s="8" t="s">
        <v>1161</v>
      </c>
      <c r="E178" s="8" t="s">
        <v>1162</v>
      </c>
      <c r="F178" s="8" t="s">
        <v>125</v>
      </c>
      <c r="G178" s="6" t="s">
        <v>117</v>
      </c>
      <c r="H178" s="6" t="s">
        <v>126</v>
      </c>
      <c r="I178" s="8" t="s">
        <v>1163</v>
      </c>
      <c r="J178" s="9">
        <v>1</v>
      </c>
      <c r="K178" s="9">
        <v>112</v>
      </c>
      <c r="L178" s="9">
        <v>2023</v>
      </c>
      <c r="M178" s="8" t="s">
        <v>1164</v>
      </c>
      <c r="N178" s="8" t="s">
        <v>41</v>
      </c>
      <c r="O178" s="8" t="s">
        <v>42</v>
      </c>
      <c r="P178" s="6" t="s">
        <v>378</v>
      </c>
      <c r="Q178" s="8" t="s">
        <v>44</v>
      </c>
      <c r="R178" s="10" t="s">
        <v>1165</v>
      </c>
      <c r="S178" s="11" t="s">
        <v>1166</v>
      </c>
      <c r="T178" s="6"/>
      <c r="U178" s="28" t="str">
        <f>HYPERLINK("https://media.infra-m.ru/1919/1919488/cover/1919488.jpg", "Обложка")</f>
        <v>Обложка</v>
      </c>
      <c r="V178" s="28" t="str">
        <f>HYPERLINK("https://znanium.ru/catalog/product/1280629", "Ознакомиться")</f>
        <v>Ознакомиться</v>
      </c>
      <c r="W178" s="8" t="s">
        <v>130</v>
      </c>
      <c r="X178" s="6"/>
      <c r="Y178" s="6"/>
      <c r="Z178" s="6"/>
      <c r="AA178" s="6" t="s">
        <v>131</v>
      </c>
    </row>
    <row r="179" spans="1:27" s="4" customFormat="1" ht="42" customHeight="1">
      <c r="A179" s="5">
        <v>0</v>
      </c>
      <c r="B179" s="6" t="s">
        <v>1167</v>
      </c>
      <c r="C179" s="13">
        <v>960</v>
      </c>
      <c r="D179" s="8" t="s">
        <v>1168</v>
      </c>
      <c r="E179" s="8" t="s">
        <v>1169</v>
      </c>
      <c r="F179" s="8" t="s">
        <v>1170</v>
      </c>
      <c r="G179" s="6" t="s">
        <v>117</v>
      </c>
      <c r="H179" s="6" t="s">
        <v>38</v>
      </c>
      <c r="I179" s="8" t="s">
        <v>106</v>
      </c>
      <c r="J179" s="9">
        <v>1</v>
      </c>
      <c r="K179" s="9">
        <v>206</v>
      </c>
      <c r="L179" s="9">
        <v>2023</v>
      </c>
      <c r="M179" s="8" t="s">
        <v>1171</v>
      </c>
      <c r="N179" s="8" t="s">
        <v>41</v>
      </c>
      <c r="O179" s="8" t="s">
        <v>42</v>
      </c>
      <c r="P179" s="6" t="s">
        <v>108</v>
      </c>
      <c r="Q179" s="8" t="s">
        <v>109</v>
      </c>
      <c r="R179" s="10" t="s">
        <v>1172</v>
      </c>
      <c r="S179" s="11"/>
      <c r="T179" s="6"/>
      <c r="U179" s="28" t="str">
        <f>HYPERLINK("https://media.infra-m.ru/1900/1900632/cover/1900632.jpg", "Обложка")</f>
        <v>Обложка</v>
      </c>
      <c r="V179" s="28" t="str">
        <f>HYPERLINK("https://znanium.ru/catalog/product/1900632", "Ознакомиться")</f>
        <v>Ознакомиться</v>
      </c>
      <c r="W179" s="8" t="s">
        <v>1173</v>
      </c>
      <c r="X179" s="6"/>
      <c r="Y179" s="6"/>
      <c r="Z179" s="6"/>
      <c r="AA179" s="6" t="s">
        <v>184</v>
      </c>
    </row>
    <row r="180" spans="1:27" s="4" customFormat="1" ht="42" customHeight="1">
      <c r="A180" s="5">
        <v>0</v>
      </c>
      <c r="B180" s="6" t="s">
        <v>1174</v>
      </c>
      <c r="C180" s="13">
        <v>660</v>
      </c>
      <c r="D180" s="8" t="s">
        <v>1175</v>
      </c>
      <c r="E180" s="8" t="s">
        <v>1176</v>
      </c>
      <c r="F180" s="8" t="s">
        <v>1177</v>
      </c>
      <c r="G180" s="6" t="s">
        <v>52</v>
      </c>
      <c r="H180" s="6" t="s">
        <v>38</v>
      </c>
      <c r="I180" s="8" t="s">
        <v>106</v>
      </c>
      <c r="J180" s="9">
        <v>1</v>
      </c>
      <c r="K180" s="9">
        <v>187</v>
      </c>
      <c r="L180" s="9">
        <v>2020</v>
      </c>
      <c r="M180" s="8" t="s">
        <v>1178</v>
      </c>
      <c r="N180" s="8" t="s">
        <v>41</v>
      </c>
      <c r="O180" s="8" t="s">
        <v>42</v>
      </c>
      <c r="P180" s="6" t="s">
        <v>108</v>
      </c>
      <c r="Q180" s="8" t="s">
        <v>109</v>
      </c>
      <c r="R180" s="10" t="s">
        <v>1179</v>
      </c>
      <c r="S180" s="11"/>
      <c r="T180" s="6"/>
      <c r="U180" s="28" t="str">
        <f>HYPERLINK("https://media.infra-m.ru/1090/1090548/cover/1090548.jpg", "Обложка")</f>
        <v>Обложка</v>
      </c>
      <c r="V180" s="28" t="str">
        <f>HYPERLINK("https://znanium.ru/catalog/product/1090548", "Ознакомиться")</f>
        <v>Ознакомиться</v>
      </c>
      <c r="W180" s="8" t="s">
        <v>618</v>
      </c>
      <c r="X180" s="6"/>
      <c r="Y180" s="6"/>
      <c r="Z180" s="6"/>
      <c r="AA180" s="6" t="s">
        <v>112</v>
      </c>
    </row>
    <row r="181" spans="1:27" s="4" customFormat="1" ht="42" customHeight="1">
      <c r="A181" s="5">
        <v>0</v>
      </c>
      <c r="B181" s="6" t="s">
        <v>1180</v>
      </c>
      <c r="C181" s="13">
        <v>504.9</v>
      </c>
      <c r="D181" s="8" t="s">
        <v>1181</v>
      </c>
      <c r="E181" s="8" t="s">
        <v>1182</v>
      </c>
      <c r="F181" s="8" t="s">
        <v>1183</v>
      </c>
      <c r="G181" s="6" t="s">
        <v>117</v>
      </c>
      <c r="H181" s="6" t="s">
        <v>38</v>
      </c>
      <c r="I181" s="8" t="s">
        <v>106</v>
      </c>
      <c r="J181" s="9">
        <v>1</v>
      </c>
      <c r="K181" s="9">
        <v>99</v>
      </c>
      <c r="L181" s="9">
        <v>2018</v>
      </c>
      <c r="M181" s="8" t="s">
        <v>1184</v>
      </c>
      <c r="N181" s="8" t="s">
        <v>41</v>
      </c>
      <c r="O181" s="8" t="s">
        <v>42</v>
      </c>
      <c r="P181" s="6" t="s">
        <v>108</v>
      </c>
      <c r="Q181" s="8" t="s">
        <v>109</v>
      </c>
      <c r="R181" s="10" t="s">
        <v>972</v>
      </c>
      <c r="S181" s="11"/>
      <c r="T181" s="6"/>
      <c r="U181" s="28" t="str">
        <f>HYPERLINK("https://media.infra-m.ru/0959/0959910/cover/959910.jpg", "Обложка")</f>
        <v>Обложка</v>
      </c>
      <c r="V181" s="28" t="str">
        <f>HYPERLINK("https://znanium.ru/catalog/product/959910", "Ознакомиться")</f>
        <v>Ознакомиться</v>
      </c>
      <c r="W181" s="8" t="s">
        <v>111</v>
      </c>
      <c r="X181" s="6"/>
      <c r="Y181" s="6"/>
      <c r="Z181" s="6"/>
      <c r="AA181" s="6" t="s">
        <v>163</v>
      </c>
    </row>
    <row r="182" spans="1:27" s="4" customFormat="1" ht="51.95" customHeight="1">
      <c r="A182" s="5">
        <v>0</v>
      </c>
      <c r="B182" s="6" t="s">
        <v>1185</v>
      </c>
      <c r="C182" s="7">
        <v>2160</v>
      </c>
      <c r="D182" s="8" t="s">
        <v>1186</v>
      </c>
      <c r="E182" s="8" t="s">
        <v>1187</v>
      </c>
      <c r="F182" s="8" t="s">
        <v>1188</v>
      </c>
      <c r="G182" s="6" t="s">
        <v>37</v>
      </c>
      <c r="H182" s="6" t="s">
        <v>38</v>
      </c>
      <c r="I182" s="8" t="s">
        <v>1189</v>
      </c>
      <c r="J182" s="9">
        <v>1</v>
      </c>
      <c r="K182" s="9">
        <v>478</v>
      </c>
      <c r="L182" s="9">
        <v>2023</v>
      </c>
      <c r="M182" s="8" t="s">
        <v>1190</v>
      </c>
      <c r="N182" s="8" t="s">
        <v>41</v>
      </c>
      <c r="O182" s="8" t="s">
        <v>42</v>
      </c>
      <c r="P182" s="6" t="s">
        <v>43</v>
      </c>
      <c r="Q182" s="8" t="s">
        <v>44</v>
      </c>
      <c r="R182" s="10" t="s">
        <v>249</v>
      </c>
      <c r="S182" s="11" t="s">
        <v>1191</v>
      </c>
      <c r="T182" s="6"/>
      <c r="U182" s="28" t="str">
        <f>HYPERLINK("https://media.infra-m.ru/1921/1921383/cover/1921383.jpg", "Обложка")</f>
        <v>Обложка</v>
      </c>
      <c r="V182" s="28" t="str">
        <f>HYPERLINK("https://znanium.ru/catalog/product/1921383", "Ознакомиться")</f>
        <v>Ознакомиться</v>
      </c>
      <c r="W182" s="8" t="s">
        <v>86</v>
      </c>
      <c r="X182" s="6"/>
      <c r="Y182" s="6"/>
      <c r="Z182" s="6"/>
      <c r="AA182" s="6" t="s">
        <v>184</v>
      </c>
    </row>
    <row r="183" spans="1:27" s="4" customFormat="1" ht="51.95" customHeight="1">
      <c r="A183" s="5">
        <v>0</v>
      </c>
      <c r="B183" s="6" t="s">
        <v>1192</v>
      </c>
      <c r="C183" s="13">
        <v>930</v>
      </c>
      <c r="D183" s="8" t="s">
        <v>1193</v>
      </c>
      <c r="E183" s="8" t="s">
        <v>1194</v>
      </c>
      <c r="F183" s="8" t="s">
        <v>1195</v>
      </c>
      <c r="G183" s="6" t="s">
        <v>52</v>
      </c>
      <c r="H183" s="6" t="s">
        <v>38</v>
      </c>
      <c r="I183" s="8" t="s">
        <v>64</v>
      </c>
      <c r="J183" s="9">
        <v>1</v>
      </c>
      <c r="K183" s="9">
        <v>202</v>
      </c>
      <c r="L183" s="9">
        <v>2023</v>
      </c>
      <c r="M183" s="8" t="s">
        <v>1196</v>
      </c>
      <c r="N183" s="8" t="s">
        <v>41</v>
      </c>
      <c r="O183" s="8" t="s">
        <v>42</v>
      </c>
      <c r="P183" s="6" t="s">
        <v>66</v>
      </c>
      <c r="Q183" s="8" t="s">
        <v>44</v>
      </c>
      <c r="R183" s="10" t="s">
        <v>128</v>
      </c>
      <c r="S183" s="11" t="s">
        <v>1197</v>
      </c>
      <c r="T183" s="6" t="s">
        <v>145</v>
      </c>
      <c r="U183" s="28" t="str">
        <f>HYPERLINK("https://media.infra-m.ru/2125/2125314/cover/2125314.jpg", "Обложка")</f>
        <v>Обложка</v>
      </c>
      <c r="V183" s="28" t="str">
        <f>HYPERLINK("https://znanium.ru/catalog/product/2110948", "Ознакомиться")</f>
        <v>Ознакомиться</v>
      </c>
      <c r="W183" s="8" t="s">
        <v>1198</v>
      </c>
      <c r="X183" s="6"/>
      <c r="Y183" s="6"/>
      <c r="Z183" s="6"/>
      <c r="AA183" s="6" t="s">
        <v>205</v>
      </c>
    </row>
    <row r="184" spans="1:27" s="4" customFormat="1" ht="51.95" customHeight="1">
      <c r="A184" s="5">
        <v>0</v>
      </c>
      <c r="B184" s="6" t="s">
        <v>1199</v>
      </c>
      <c r="C184" s="7">
        <v>1040</v>
      </c>
      <c r="D184" s="8" t="s">
        <v>1200</v>
      </c>
      <c r="E184" s="8" t="s">
        <v>1201</v>
      </c>
      <c r="F184" s="8" t="s">
        <v>1202</v>
      </c>
      <c r="G184" s="6" t="s">
        <v>52</v>
      </c>
      <c r="H184" s="6" t="s">
        <v>38</v>
      </c>
      <c r="I184" s="8" t="s">
        <v>39</v>
      </c>
      <c r="J184" s="9">
        <v>1</v>
      </c>
      <c r="K184" s="9">
        <v>224</v>
      </c>
      <c r="L184" s="9">
        <v>2023</v>
      </c>
      <c r="M184" s="8" t="s">
        <v>1203</v>
      </c>
      <c r="N184" s="8" t="s">
        <v>41</v>
      </c>
      <c r="O184" s="8" t="s">
        <v>42</v>
      </c>
      <c r="P184" s="6" t="s">
        <v>43</v>
      </c>
      <c r="Q184" s="8" t="s">
        <v>44</v>
      </c>
      <c r="R184" s="10" t="s">
        <v>1204</v>
      </c>
      <c r="S184" s="11" t="s">
        <v>1205</v>
      </c>
      <c r="T184" s="6"/>
      <c r="U184" s="28" t="str">
        <f>HYPERLINK("https://media.infra-m.ru/2125/2125927/cover/2125927.jpg", "Обложка")</f>
        <v>Обложка</v>
      </c>
      <c r="V184" s="28" t="str">
        <f>HYPERLINK("https://znanium.ru/catalog/product/2125927", "Ознакомиться")</f>
        <v>Ознакомиться</v>
      </c>
      <c r="W184" s="8" t="s">
        <v>47</v>
      </c>
      <c r="X184" s="6"/>
      <c r="Y184" s="6"/>
      <c r="Z184" s="6"/>
      <c r="AA184" s="6" t="s">
        <v>1206</v>
      </c>
    </row>
    <row r="185" spans="1:27" s="4" customFormat="1" ht="51.95" customHeight="1">
      <c r="A185" s="5">
        <v>0</v>
      </c>
      <c r="B185" s="6" t="s">
        <v>1207</v>
      </c>
      <c r="C185" s="7">
        <v>1034</v>
      </c>
      <c r="D185" s="8" t="s">
        <v>1208</v>
      </c>
      <c r="E185" s="8" t="s">
        <v>1201</v>
      </c>
      <c r="F185" s="8" t="s">
        <v>1202</v>
      </c>
      <c r="G185" s="6" t="s">
        <v>37</v>
      </c>
      <c r="H185" s="6" t="s">
        <v>38</v>
      </c>
      <c r="I185" s="8" t="s">
        <v>53</v>
      </c>
      <c r="J185" s="9">
        <v>1</v>
      </c>
      <c r="K185" s="9">
        <v>224</v>
      </c>
      <c r="L185" s="9">
        <v>2024</v>
      </c>
      <c r="M185" s="8" t="s">
        <v>1209</v>
      </c>
      <c r="N185" s="8" t="s">
        <v>41</v>
      </c>
      <c r="O185" s="8" t="s">
        <v>42</v>
      </c>
      <c r="P185" s="6" t="s">
        <v>43</v>
      </c>
      <c r="Q185" s="8" t="s">
        <v>55</v>
      </c>
      <c r="R185" s="10" t="s">
        <v>746</v>
      </c>
      <c r="S185" s="11" t="s">
        <v>1210</v>
      </c>
      <c r="T185" s="6"/>
      <c r="U185" s="28" t="str">
        <f>HYPERLINK("https://media.infra-m.ru/2110/2110951/cover/2110951.jpg", "Обложка")</f>
        <v>Обложка</v>
      </c>
      <c r="V185" s="28" t="str">
        <f>HYPERLINK("https://znanium.ru/catalog/product/1406645", "Ознакомиться")</f>
        <v>Ознакомиться</v>
      </c>
      <c r="W185" s="8" t="s">
        <v>47</v>
      </c>
      <c r="X185" s="6"/>
      <c r="Y185" s="6"/>
      <c r="Z185" s="6" t="s">
        <v>58</v>
      </c>
      <c r="AA185" s="6" t="s">
        <v>1206</v>
      </c>
    </row>
    <row r="186" spans="1:27" s="4" customFormat="1" ht="51.95" customHeight="1">
      <c r="A186" s="5">
        <v>0</v>
      </c>
      <c r="B186" s="6" t="s">
        <v>1211</v>
      </c>
      <c r="C186" s="13">
        <v>814</v>
      </c>
      <c r="D186" s="8" t="s">
        <v>1212</v>
      </c>
      <c r="E186" s="8" t="s">
        <v>1213</v>
      </c>
      <c r="F186" s="8" t="s">
        <v>1214</v>
      </c>
      <c r="G186" s="6" t="s">
        <v>117</v>
      </c>
      <c r="H186" s="6" t="s">
        <v>126</v>
      </c>
      <c r="I186" s="8" t="s">
        <v>64</v>
      </c>
      <c r="J186" s="9">
        <v>1</v>
      </c>
      <c r="K186" s="9">
        <v>176</v>
      </c>
      <c r="L186" s="9">
        <v>2023</v>
      </c>
      <c r="M186" s="8" t="s">
        <v>1215</v>
      </c>
      <c r="N186" s="8" t="s">
        <v>41</v>
      </c>
      <c r="O186" s="8" t="s">
        <v>42</v>
      </c>
      <c r="P186" s="6" t="s">
        <v>43</v>
      </c>
      <c r="Q186" s="8" t="s">
        <v>44</v>
      </c>
      <c r="R186" s="10" t="s">
        <v>1216</v>
      </c>
      <c r="S186" s="11" t="s">
        <v>1217</v>
      </c>
      <c r="T186" s="6"/>
      <c r="U186" s="28" t="str">
        <f>HYPERLINK("https://media.infra-m.ru/1907/1907534/cover/1907534.jpg", "Обложка")</f>
        <v>Обложка</v>
      </c>
      <c r="V186" s="28" t="str">
        <f>HYPERLINK("https://znanium.ru/catalog/product/1832413", "Ознакомиться")</f>
        <v>Ознакомиться</v>
      </c>
      <c r="W186" s="8" t="s">
        <v>130</v>
      </c>
      <c r="X186" s="6"/>
      <c r="Y186" s="6"/>
      <c r="Z186" s="6"/>
      <c r="AA186" s="6" t="s">
        <v>1052</v>
      </c>
    </row>
    <row r="187" spans="1:27" s="4" customFormat="1" ht="51.95" customHeight="1">
      <c r="A187" s="5">
        <v>0</v>
      </c>
      <c r="B187" s="6" t="s">
        <v>1218</v>
      </c>
      <c r="C187" s="13">
        <v>870</v>
      </c>
      <c r="D187" s="8" t="s">
        <v>1219</v>
      </c>
      <c r="E187" s="8" t="s">
        <v>1220</v>
      </c>
      <c r="F187" s="8" t="s">
        <v>1221</v>
      </c>
      <c r="G187" s="6" t="s">
        <v>37</v>
      </c>
      <c r="H187" s="6" t="s">
        <v>38</v>
      </c>
      <c r="I187" s="8" t="s">
        <v>81</v>
      </c>
      <c r="J187" s="9">
        <v>1</v>
      </c>
      <c r="K187" s="9">
        <v>173</v>
      </c>
      <c r="L187" s="9">
        <v>2024</v>
      </c>
      <c r="M187" s="8" t="s">
        <v>1222</v>
      </c>
      <c r="N187" s="8" t="s">
        <v>41</v>
      </c>
      <c r="O187" s="8" t="s">
        <v>42</v>
      </c>
      <c r="P187" s="6" t="s">
        <v>43</v>
      </c>
      <c r="Q187" s="8" t="s">
        <v>83</v>
      </c>
      <c r="R187" s="10" t="s">
        <v>1223</v>
      </c>
      <c r="S187" s="11" t="s">
        <v>1224</v>
      </c>
      <c r="T187" s="6"/>
      <c r="U187" s="28" t="str">
        <f>HYPERLINK("https://media.infra-m.ru/2105/2105241/cover/2105241.jpg", "Обложка")</f>
        <v>Обложка</v>
      </c>
      <c r="V187" s="28" t="str">
        <f>HYPERLINK("https://znanium.ru/catalog/product/2105241", "Ознакомиться")</f>
        <v>Ознакомиться</v>
      </c>
      <c r="W187" s="8" t="s">
        <v>86</v>
      </c>
      <c r="X187" s="6" t="s">
        <v>559</v>
      </c>
      <c r="Y187" s="6"/>
      <c r="Z187" s="6"/>
      <c r="AA187" s="6" t="s">
        <v>88</v>
      </c>
    </row>
    <row r="188" spans="1:27" s="4" customFormat="1" ht="51.95" customHeight="1">
      <c r="A188" s="5">
        <v>0</v>
      </c>
      <c r="B188" s="6" t="s">
        <v>1225</v>
      </c>
      <c r="C188" s="13">
        <v>930</v>
      </c>
      <c r="D188" s="8" t="s">
        <v>1226</v>
      </c>
      <c r="E188" s="8" t="s">
        <v>1227</v>
      </c>
      <c r="F188" s="8" t="s">
        <v>1228</v>
      </c>
      <c r="G188" s="6" t="s">
        <v>52</v>
      </c>
      <c r="H188" s="6" t="s">
        <v>38</v>
      </c>
      <c r="I188" s="8" t="s">
        <v>39</v>
      </c>
      <c r="J188" s="9">
        <v>1</v>
      </c>
      <c r="K188" s="9">
        <v>244</v>
      </c>
      <c r="L188" s="9">
        <v>2022</v>
      </c>
      <c r="M188" s="8" t="s">
        <v>1229</v>
      </c>
      <c r="N188" s="8" t="s">
        <v>41</v>
      </c>
      <c r="O188" s="8" t="s">
        <v>42</v>
      </c>
      <c r="P188" s="6" t="s">
        <v>43</v>
      </c>
      <c r="Q188" s="8" t="s">
        <v>44</v>
      </c>
      <c r="R188" s="10" t="s">
        <v>385</v>
      </c>
      <c r="S188" s="11" t="s">
        <v>1230</v>
      </c>
      <c r="T188" s="6"/>
      <c r="U188" s="28" t="str">
        <f>HYPERLINK("https://media.infra-m.ru/1864/1864199/cover/1864199.jpg", "Обложка")</f>
        <v>Обложка</v>
      </c>
      <c r="V188" s="28" t="str">
        <f>HYPERLINK("https://znanium.ru/catalog/product/1864199", "Ознакомиться")</f>
        <v>Ознакомиться</v>
      </c>
      <c r="W188" s="8" t="s">
        <v>47</v>
      </c>
      <c r="X188" s="6"/>
      <c r="Y188" s="6"/>
      <c r="Z188" s="6"/>
      <c r="AA188" s="6" t="s">
        <v>59</v>
      </c>
    </row>
    <row r="189" spans="1:27" s="4" customFormat="1" ht="51.95" customHeight="1">
      <c r="A189" s="5">
        <v>0</v>
      </c>
      <c r="B189" s="6" t="s">
        <v>1231</v>
      </c>
      <c r="C189" s="13">
        <v>794.9</v>
      </c>
      <c r="D189" s="8" t="s">
        <v>1232</v>
      </c>
      <c r="E189" s="8" t="s">
        <v>1213</v>
      </c>
      <c r="F189" s="8" t="s">
        <v>1214</v>
      </c>
      <c r="G189" s="6" t="s">
        <v>52</v>
      </c>
      <c r="H189" s="6" t="s">
        <v>126</v>
      </c>
      <c r="I189" s="8" t="s">
        <v>53</v>
      </c>
      <c r="J189" s="9">
        <v>1</v>
      </c>
      <c r="K189" s="9">
        <v>176</v>
      </c>
      <c r="L189" s="9">
        <v>2023</v>
      </c>
      <c r="M189" s="8" t="s">
        <v>1233</v>
      </c>
      <c r="N189" s="8" t="s">
        <v>41</v>
      </c>
      <c r="O189" s="8" t="s">
        <v>42</v>
      </c>
      <c r="P189" s="6" t="s">
        <v>43</v>
      </c>
      <c r="Q189" s="8" t="s">
        <v>55</v>
      </c>
      <c r="R189" s="10" t="s">
        <v>1234</v>
      </c>
      <c r="S189" s="11" t="s">
        <v>1235</v>
      </c>
      <c r="T189" s="6"/>
      <c r="U189" s="28" t="str">
        <f>HYPERLINK("https://media.infra-m.ru/2045/2045973/cover/2045973.jpg", "Обложка")</f>
        <v>Обложка</v>
      </c>
      <c r="V189" s="28" t="str">
        <f>HYPERLINK("https://znanium.ru/catalog/product/1096018", "Ознакомиться")</f>
        <v>Ознакомиться</v>
      </c>
      <c r="W189" s="8" t="s">
        <v>130</v>
      </c>
      <c r="X189" s="6"/>
      <c r="Y189" s="6"/>
      <c r="Z189" s="6" t="s">
        <v>58</v>
      </c>
      <c r="AA189" s="6" t="s">
        <v>121</v>
      </c>
    </row>
    <row r="190" spans="1:27" s="4" customFormat="1" ht="51.95" customHeight="1">
      <c r="A190" s="5">
        <v>0</v>
      </c>
      <c r="B190" s="6" t="s">
        <v>1236</v>
      </c>
      <c r="C190" s="7">
        <v>1140</v>
      </c>
      <c r="D190" s="8" t="s">
        <v>1237</v>
      </c>
      <c r="E190" s="8" t="s">
        <v>1238</v>
      </c>
      <c r="F190" s="8" t="s">
        <v>1239</v>
      </c>
      <c r="G190" s="6" t="s">
        <v>52</v>
      </c>
      <c r="H190" s="6" t="s">
        <v>38</v>
      </c>
      <c r="I190" s="8" t="s">
        <v>39</v>
      </c>
      <c r="J190" s="9">
        <v>1</v>
      </c>
      <c r="K190" s="9">
        <v>246</v>
      </c>
      <c r="L190" s="9">
        <v>2023</v>
      </c>
      <c r="M190" s="8" t="s">
        <v>1240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679</v>
      </c>
      <c r="S190" s="11" t="s">
        <v>1241</v>
      </c>
      <c r="T190" s="6"/>
      <c r="U190" s="28" t="str">
        <f>HYPERLINK("https://media.infra-m.ru/2125/2125016/cover/2125016.jpg", "Обложка")</f>
        <v>Обложка</v>
      </c>
      <c r="V190" s="28" t="str">
        <f>HYPERLINK("https://znanium.ru/catalog/product/2125016", "Ознакомиться")</f>
        <v>Ознакомиться</v>
      </c>
      <c r="W190" s="8" t="s">
        <v>387</v>
      </c>
      <c r="X190" s="6"/>
      <c r="Y190" s="6"/>
      <c r="Z190" s="6"/>
      <c r="AA190" s="6" t="s">
        <v>1206</v>
      </c>
    </row>
    <row r="191" spans="1:27" s="4" customFormat="1" ht="51.95" customHeight="1">
      <c r="A191" s="5">
        <v>0</v>
      </c>
      <c r="B191" s="6" t="s">
        <v>1242</v>
      </c>
      <c r="C191" s="7">
        <v>1154</v>
      </c>
      <c r="D191" s="8" t="s">
        <v>1243</v>
      </c>
      <c r="E191" s="8" t="s">
        <v>1244</v>
      </c>
      <c r="F191" s="8" t="s">
        <v>1239</v>
      </c>
      <c r="G191" s="6" t="s">
        <v>52</v>
      </c>
      <c r="H191" s="6" t="s">
        <v>38</v>
      </c>
      <c r="I191" s="8" t="s">
        <v>53</v>
      </c>
      <c r="J191" s="9">
        <v>1</v>
      </c>
      <c r="K191" s="9">
        <v>246</v>
      </c>
      <c r="L191" s="9">
        <v>2024</v>
      </c>
      <c r="M191" s="8" t="s">
        <v>1245</v>
      </c>
      <c r="N191" s="8" t="s">
        <v>41</v>
      </c>
      <c r="O191" s="8" t="s">
        <v>42</v>
      </c>
      <c r="P191" s="6" t="s">
        <v>43</v>
      </c>
      <c r="Q191" s="8" t="s">
        <v>55</v>
      </c>
      <c r="R191" s="10" t="s">
        <v>354</v>
      </c>
      <c r="S191" s="11" t="s">
        <v>1246</v>
      </c>
      <c r="T191" s="6"/>
      <c r="U191" s="28" t="str">
        <f>HYPERLINK("https://media.infra-m.ru/2137/2137111/cover/2137111.jpg", "Обложка")</f>
        <v>Обложка</v>
      </c>
      <c r="V191" s="28" t="str">
        <f>HYPERLINK("https://znanium.ru/catalog/product/1322318", "Ознакомиться")</f>
        <v>Ознакомиться</v>
      </c>
      <c r="W191" s="8" t="s">
        <v>387</v>
      </c>
      <c r="X191" s="6"/>
      <c r="Y191" s="6"/>
      <c r="Z191" s="6" t="s">
        <v>58</v>
      </c>
      <c r="AA191" s="6" t="s">
        <v>137</v>
      </c>
    </row>
    <row r="192" spans="1:27" s="4" customFormat="1" ht="51.95" customHeight="1">
      <c r="A192" s="5">
        <v>0</v>
      </c>
      <c r="B192" s="6" t="s">
        <v>1247</v>
      </c>
      <c r="C192" s="13">
        <v>804.9</v>
      </c>
      <c r="D192" s="8" t="s">
        <v>1248</v>
      </c>
      <c r="E192" s="8" t="s">
        <v>1244</v>
      </c>
      <c r="F192" s="8" t="s">
        <v>1239</v>
      </c>
      <c r="G192" s="6" t="s">
        <v>37</v>
      </c>
      <c r="H192" s="6" t="s">
        <v>38</v>
      </c>
      <c r="I192" s="8" t="s">
        <v>39</v>
      </c>
      <c r="J192" s="9">
        <v>1</v>
      </c>
      <c r="K192" s="9">
        <v>222</v>
      </c>
      <c r="L192" s="9">
        <v>2021</v>
      </c>
      <c r="M192" s="8" t="s">
        <v>1249</v>
      </c>
      <c r="N192" s="8" t="s">
        <v>41</v>
      </c>
      <c r="O192" s="8" t="s">
        <v>42</v>
      </c>
      <c r="P192" s="6" t="s">
        <v>43</v>
      </c>
      <c r="Q192" s="8" t="s">
        <v>44</v>
      </c>
      <c r="R192" s="10" t="s">
        <v>679</v>
      </c>
      <c r="S192" s="11" t="s">
        <v>1241</v>
      </c>
      <c r="T192" s="6"/>
      <c r="U192" s="28" t="str">
        <f>HYPERLINK("https://media.infra-m.ru/1154/1154314/cover/1154314.jpg", "Обложка")</f>
        <v>Обложка</v>
      </c>
      <c r="V192" s="28" t="str">
        <f>HYPERLINK("https://znanium.ru/catalog/product/2125016", "Ознакомиться")</f>
        <v>Ознакомиться</v>
      </c>
      <c r="W192" s="8" t="s">
        <v>387</v>
      </c>
      <c r="X192" s="6"/>
      <c r="Y192" s="6"/>
      <c r="Z192" s="6"/>
      <c r="AA192" s="6" t="s">
        <v>205</v>
      </c>
    </row>
    <row r="193" spans="1:27" s="4" customFormat="1" ht="42" customHeight="1">
      <c r="A193" s="5">
        <v>0</v>
      </c>
      <c r="B193" s="6" t="s">
        <v>1250</v>
      </c>
      <c r="C193" s="7">
        <v>2524</v>
      </c>
      <c r="D193" s="8" t="s">
        <v>1251</v>
      </c>
      <c r="E193" s="8" t="s">
        <v>1252</v>
      </c>
      <c r="F193" s="8" t="s">
        <v>1253</v>
      </c>
      <c r="G193" s="6" t="s">
        <v>37</v>
      </c>
      <c r="H193" s="6" t="s">
        <v>255</v>
      </c>
      <c r="I193" s="8" t="s">
        <v>1254</v>
      </c>
      <c r="J193" s="9">
        <v>1</v>
      </c>
      <c r="K193" s="9">
        <v>560</v>
      </c>
      <c r="L193" s="9">
        <v>2023</v>
      </c>
      <c r="M193" s="8" t="s">
        <v>1255</v>
      </c>
      <c r="N193" s="8" t="s">
        <v>41</v>
      </c>
      <c r="O193" s="8" t="s">
        <v>42</v>
      </c>
      <c r="P193" s="6" t="s">
        <v>108</v>
      </c>
      <c r="Q193" s="8" t="s">
        <v>109</v>
      </c>
      <c r="R193" s="10" t="s">
        <v>501</v>
      </c>
      <c r="S193" s="11"/>
      <c r="T193" s="6"/>
      <c r="U193" s="28" t="str">
        <f>HYPERLINK("https://media.infra-m.ru/1981/1981595/cover/1981595.jpg", "Обложка")</f>
        <v>Обложка</v>
      </c>
      <c r="V193" s="28" t="str">
        <f>HYPERLINK("https://znanium.ru/catalog/product/971694", "Ознакомиться")</f>
        <v>Ознакомиться</v>
      </c>
      <c r="W193" s="8" t="s">
        <v>47</v>
      </c>
      <c r="X193" s="6"/>
      <c r="Y193" s="6"/>
      <c r="Z193" s="6"/>
      <c r="AA193" s="6" t="s">
        <v>48</v>
      </c>
    </row>
    <row r="194" spans="1:27" s="4" customFormat="1" ht="44.1" customHeight="1">
      <c r="A194" s="5">
        <v>0</v>
      </c>
      <c r="B194" s="6" t="s">
        <v>1256</v>
      </c>
      <c r="C194" s="13">
        <v>890</v>
      </c>
      <c r="D194" s="8" t="s">
        <v>1257</v>
      </c>
      <c r="E194" s="8" t="s">
        <v>1258</v>
      </c>
      <c r="F194" s="8" t="s">
        <v>1259</v>
      </c>
      <c r="G194" s="6" t="s">
        <v>117</v>
      </c>
      <c r="H194" s="6" t="s">
        <v>38</v>
      </c>
      <c r="I194" s="8" t="s">
        <v>106</v>
      </c>
      <c r="J194" s="9">
        <v>1</v>
      </c>
      <c r="K194" s="9">
        <v>181</v>
      </c>
      <c r="L194" s="9">
        <v>2022</v>
      </c>
      <c r="M194" s="8" t="s">
        <v>1260</v>
      </c>
      <c r="N194" s="8" t="s">
        <v>41</v>
      </c>
      <c r="O194" s="8" t="s">
        <v>42</v>
      </c>
      <c r="P194" s="6" t="s">
        <v>108</v>
      </c>
      <c r="Q194" s="8" t="s">
        <v>109</v>
      </c>
      <c r="R194" s="10" t="s">
        <v>1261</v>
      </c>
      <c r="S194" s="11"/>
      <c r="T194" s="6"/>
      <c r="U194" s="28" t="str">
        <f>HYPERLINK("https://media.infra-m.ru/1867/1867635/cover/1867635.jpg", "Обложка")</f>
        <v>Обложка</v>
      </c>
      <c r="V194" s="28" t="str">
        <f>HYPERLINK("https://znanium.ru/catalog/product/1867635", "Ознакомиться")</f>
        <v>Ознакомиться</v>
      </c>
      <c r="W194" s="8" t="s">
        <v>1262</v>
      </c>
      <c r="X194" s="6"/>
      <c r="Y194" s="6"/>
      <c r="Z194" s="6"/>
      <c r="AA194" s="6" t="s">
        <v>419</v>
      </c>
    </row>
    <row r="195" spans="1:27" s="4" customFormat="1" ht="42" customHeight="1">
      <c r="A195" s="5">
        <v>0</v>
      </c>
      <c r="B195" s="6" t="s">
        <v>1263</v>
      </c>
      <c r="C195" s="13">
        <v>910</v>
      </c>
      <c r="D195" s="8" t="s">
        <v>1264</v>
      </c>
      <c r="E195" s="8" t="s">
        <v>1265</v>
      </c>
      <c r="F195" s="8" t="s">
        <v>1266</v>
      </c>
      <c r="G195" s="6" t="s">
        <v>52</v>
      </c>
      <c r="H195" s="6" t="s">
        <v>38</v>
      </c>
      <c r="I195" s="8" t="s">
        <v>262</v>
      </c>
      <c r="J195" s="9">
        <v>1</v>
      </c>
      <c r="K195" s="9">
        <v>178</v>
      </c>
      <c r="L195" s="9">
        <v>2024</v>
      </c>
      <c r="M195" s="8" t="s">
        <v>1267</v>
      </c>
      <c r="N195" s="8" t="s">
        <v>41</v>
      </c>
      <c r="O195" s="8" t="s">
        <v>42</v>
      </c>
      <c r="P195" s="6" t="s">
        <v>66</v>
      </c>
      <c r="Q195" s="8" t="s">
        <v>264</v>
      </c>
      <c r="R195" s="10" t="s">
        <v>1268</v>
      </c>
      <c r="S195" s="11"/>
      <c r="T195" s="6"/>
      <c r="U195" s="28" t="str">
        <f>HYPERLINK("https://media.infra-m.ru/2110/2110943/cover/2110943.jpg", "Обложка")</f>
        <v>Обложка</v>
      </c>
      <c r="V195" s="28" t="str">
        <f>HYPERLINK("https://znanium.ru/catalog/product/2110943", "Ознакомиться")</f>
        <v>Ознакомиться</v>
      </c>
      <c r="W195" s="8" t="s">
        <v>1269</v>
      </c>
      <c r="X195" s="6"/>
      <c r="Y195" s="6"/>
      <c r="Z195" s="6"/>
      <c r="AA195" s="6" t="s">
        <v>163</v>
      </c>
    </row>
    <row r="196" spans="1:27" s="4" customFormat="1" ht="51.95" customHeight="1">
      <c r="A196" s="5">
        <v>0</v>
      </c>
      <c r="B196" s="6" t="s">
        <v>1270</v>
      </c>
      <c r="C196" s="7">
        <v>1304</v>
      </c>
      <c r="D196" s="8" t="s">
        <v>1271</v>
      </c>
      <c r="E196" s="8" t="s">
        <v>1272</v>
      </c>
      <c r="F196" s="8" t="s">
        <v>1273</v>
      </c>
      <c r="G196" s="6" t="s">
        <v>52</v>
      </c>
      <c r="H196" s="6" t="s">
        <v>38</v>
      </c>
      <c r="I196" s="8" t="s">
        <v>39</v>
      </c>
      <c r="J196" s="9">
        <v>1</v>
      </c>
      <c r="K196" s="9">
        <v>288</v>
      </c>
      <c r="L196" s="9">
        <v>2023</v>
      </c>
      <c r="M196" s="8" t="s">
        <v>1274</v>
      </c>
      <c r="N196" s="8" t="s">
        <v>41</v>
      </c>
      <c r="O196" s="8" t="s">
        <v>42</v>
      </c>
      <c r="P196" s="6" t="s">
        <v>66</v>
      </c>
      <c r="Q196" s="8" t="s">
        <v>44</v>
      </c>
      <c r="R196" s="10" t="s">
        <v>1275</v>
      </c>
      <c r="S196" s="11" t="s">
        <v>1276</v>
      </c>
      <c r="T196" s="6"/>
      <c r="U196" s="28" t="str">
        <f>HYPERLINK("https://media.infra-m.ru/1941/1941726/cover/1941726.jpg", "Обложка")</f>
        <v>Обложка</v>
      </c>
      <c r="V196" s="28" t="str">
        <f>HYPERLINK("https://znanium.ru/catalog/product/1931491", "Ознакомиться")</f>
        <v>Ознакомиться</v>
      </c>
      <c r="W196" s="8" t="s">
        <v>47</v>
      </c>
      <c r="X196" s="6"/>
      <c r="Y196" s="6"/>
      <c r="Z196" s="6"/>
      <c r="AA196" s="6" t="s">
        <v>96</v>
      </c>
    </row>
    <row r="197" spans="1:27" s="4" customFormat="1" ht="42" customHeight="1">
      <c r="A197" s="5">
        <v>0</v>
      </c>
      <c r="B197" s="6" t="s">
        <v>1277</v>
      </c>
      <c r="C197" s="7">
        <v>1340</v>
      </c>
      <c r="D197" s="8" t="s">
        <v>1278</v>
      </c>
      <c r="E197" s="8" t="s">
        <v>1279</v>
      </c>
      <c r="F197" s="8" t="s">
        <v>1280</v>
      </c>
      <c r="G197" s="6" t="s">
        <v>52</v>
      </c>
      <c r="H197" s="6" t="s">
        <v>38</v>
      </c>
      <c r="I197" s="8" t="s">
        <v>106</v>
      </c>
      <c r="J197" s="9">
        <v>1</v>
      </c>
      <c r="K197" s="9">
        <v>291</v>
      </c>
      <c r="L197" s="9">
        <v>2024</v>
      </c>
      <c r="M197" s="8" t="s">
        <v>1281</v>
      </c>
      <c r="N197" s="8" t="s">
        <v>41</v>
      </c>
      <c r="O197" s="8" t="s">
        <v>42</v>
      </c>
      <c r="P197" s="6" t="s">
        <v>108</v>
      </c>
      <c r="Q197" s="8" t="s">
        <v>109</v>
      </c>
      <c r="R197" s="10" t="s">
        <v>152</v>
      </c>
      <c r="S197" s="11"/>
      <c r="T197" s="6"/>
      <c r="U197" s="28" t="str">
        <f>HYPERLINK("https://media.infra-m.ru/1910/1910445/cover/1910445.jpg", "Обложка")</f>
        <v>Обложка</v>
      </c>
      <c r="V197" s="28" t="str">
        <f>HYPERLINK("https://znanium.ru/catalog/product/1910445", "Ознакомиться")</f>
        <v>Ознакомиться</v>
      </c>
      <c r="W197" s="8" t="s">
        <v>1282</v>
      </c>
      <c r="X197" s="6"/>
      <c r="Y197" s="6"/>
      <c r="Z197" s="6"/>
      <c r="AA197" s="6" t="s">
        <v>163</v>
      </c>
    </row>
    <row r="198" spans="1:27" s="4" customFormat="1" ht="44.1" customHeight="1">
      <c r="A198" s="5">
        <v>0</v>
      </c>
      <c r="B198" s="6" t="s">
        <v>1283</v>
      </c>
      <c r="C198" s="7">
        <v>1100</v>
      </c>
      <c r="D198" s="8" t="s">
        <v>1284</v>
      </c>
      <c r="E198" s="8" t="s">
        <v>1285</v>
      </c>
      <c r="F198" s="8" t="s">
        <v>1286</v>
      </c>
      <c r="G198" s="6" t="s">
        <v>117</v>
      </c>
      <c r="H198" s="6" t="s">
        <v>38</v>
      </c>
      <c r="I198" s="8" t="s">
        <v>106</v>
      </c>
      <c r="J198" s="9">
        <v>1</v>
      </c>
      <c r="K198" s="9">
        <v>190</v>
      </c>
      <c r="L198" s="9">
        <v>2022</v>
      </c>
      <c r="M198" s="8" t="s">
        <v>1287</v>
      </c>
      <c r="N198" s="8" t="s">
        <v>41</v>
      </c>
      <c r="O198" s="8" t="s">
        <v>42</v>
      </c>
      <c r="P198" s="6" t="s">
        <v>108</v>
      </c>
      <c r="Q198" s="8" t="s">
        <v>109</v>
      </c>
      <c r="R198" s="10" t="s">
        <v>1288</v>
      </c>
      <c r="S198" s="11"/>
      <c r="T198" s="6"/>
      <c r="U198" s="28" t="str">
        <f>HYPERLINK("https://media.infra-m.ru/1851/1851554/cover/1851554.jpg", "Обложка")</f>
        <v>Обложка</v>
      </c>
      <c r="V198" s="28" t="str">
        <f>HYPERLINK("https://znanium.ru/catalog/product/1851554", "Ознакомиться")</f>
        <v>Ознакомиться</v>
      </c>
      <c r="W198" s="8" t="s">
        <v>1289</v>
      </c>
      <c r="X198" s="6"/>
      <c r="Y198" s="6"/>
      <c r="Z198" s="6"/>
      <c r="AA198" s="6" t="s">
        <v>419</v>
      </c>
    </row>
    <row r="199" spans="1:27" s="4" customFormat="1" ht="51.95" customHeight="1">
      <c r="A199" s="5">
        <v>0</v>
      </c>
      <c r="B199" s="6" t="s">
        <v>1290</v>
      </c>
      <c r="C199" s="13">
        <v>460</v>
      </c>
      <c r="D199" s="8" t="s">
        <v>1291</v>
      </c>
      <c r="E199" s="8" t="s">
        <v>1292</v>
      </c>
      <c r="F199" s="8" t="s">
        <v>1293</v>
      </c>
      <c r="G199" s="6" t="s">
        <v>117</v>
      </c>
      <c r="H199" s="6" t="s">
        <v>126</v>
      </c>
      <c r="I199" s="8"/>
      <c r="J199" s="9">
        <v>1</v>
      </c>
      <c r="K199" s="9">
        <v>96</v>
      </c>
      <c r="L199" s="9">
        <v>2022</v>
      </c>
      <c r="M199" s="8" t="s">
        <v>1294</v>
      </c>
      <c r="N199" s="8" t="s">
        <v>41</v>
      </c>
      <c r="O199" s="8" t="s">
        <v>42</v>
      </c>
      <c r="P199" s="6" t="s">
        <v>43</v>
      </c>
      <c r="Q199" s="8" t="s">
        <v>44</v>
      </c>
      <c r="R199" s="10" t="s">
        <v>1295</v>
      </c>
      <c r="S199" s="11" t="s">
        <v>1296</v>
      </c>
      <c r="T199" s="6"/>
      <c r="U199" s="28" t="str">
        <f>HYPERLINK("https://media.infra-m.ru/1946/1946462/cover/1946462.jpg", "Обложка")</f>
        <v>Обложка</v>
      </c>
      <c r="V199" s="28" t="str">
        <f>HYPERLINK("https://znanium.ru/catalog/product/1946462", "Ознакомиться")</f>
        <v>Ознакомиться</v>
      </c>
      <c r="W199" s="8" t="s">
        <v>1297</v>
      </c>
      <c r="X199" s="6"/>
      <c r="Y199" s="6"/>
      <c r="Z199" s="6"/>
      <c r="AA199" s="6" t="s">
        <v>48</v>
      </c>
    </row>
    <row r="200" spans="1:27" s="4" customFormat="1" ht="51.95" customHeight="1">
      <c r="A200" s="5">
        <v>0</v>
      </c>
      <c r="B200" s="6" t="s">
        <v>1298</v>
      </c>
      <c r="C200" s="13">
        <v>810</v>
      </c>
      <c r="D200" s="8" t="s">
        <v>1299</v>
      </c>
      <c r="E200" s="8" t="s">
        <v>1300</v>
      </c>
      <c r="F200" s="8"/>
      <c r="G200" s="6" t="s">
        <v>52</v>
      </c>
      <c r="H200" s="6" t="s">
        <v>38</v>
      </c>
      <c r="I200" s="8" t="s">
        <v>64</v>
      </c>
      <c r="J200" s="9">
        <v>1</v>
      </c>
      <c r="K200" s="9">
        <v>176</v>
      </c>
      <c r="L200" s="9">
        <v>2024</v>
      </c>
      <c r="M200" s="8" t="s">
        <v>1301</v>
      </c>
      <c r="N200" s="8" t="s">
        <v>41</v>
      </c>
      <c r="O200" s="8" t="s">
        <v>42</v>
      </c>
      <c r="P200" s="6" t="s">
        <v>1302</v>
      </c>
      <c r="Q200" s="8" t="s">
        <v>83</v>
      </c>
      <c r="R200" s="10" t="s">
        <v>1303</v>
      </c>
      <c r="S200" s="11" t="s">
        <v>1304</v>
      </c>
      <c r="T200" s="6"/>
      <c r="U200" s="28" t="str">
        <f>HYPERLINK("https://media.infra-m.ru/1081/1081358/cover/1081358.jpg", "Обложка")</f>
        <v>Обложка</v>
      </c>
      <c r="V200" s="28" t="str">
        <f>HYPERLINK("https://znanium.ru/catalog/product/1081358", "Ознакомиться")</f>
        <v>Ознакомиться</v>
      </c>
      <c r="W200" s="8" t="s">
        <v>294</v>
      </c>
      <c r="X200" s="6"/>
      <c r="Y200" s="6"/>
      <c r="Z200" s="6"/>
      <c r="AA200" s="6" t="s">
        <v>48</v>
      </c>
    </row>
    <row r="201" spans="1:27" s="4" customFormat="1" ht="51.95" customHeight="1">
      <c r="A201" s="5">
        <v>0</v>
      </c>
      <c r="B201" s="6" t="s">
        <v>1305</v>
      </c>
      <c r="C201" s="13">
        <v>594.9</v>
      </c>
      <c r="D201" s="8" t="s">
        <v>1306</v>
      </c>
      <c r="E201" s="8" t="s">
        <v>1307</v>
      </c>
      <c r="F201" s="8" t="s">
        <v>1308</v>
      </c>
      <c r="G201" s="6" t="s">
        <v>117</v>
      </c>
      <c r="H201" s="6" t="s">
        <v>126</v>
      </c>
      <c r="I201" s="8" t="s">
        <v>39</v>
      </c>
      <c r="J201" s="9">
        <v>1</v>
      </c>
      <c r="K201" s="9">
        <v>176</v>
      </c>
      <c r="L201" s="9">
        <v>2020</v>
      </c>
      <c r="M201" s="8" t="s">
        <v>1309</v>
      </c>
      <c r="N201" s="8" t="s">
        <v>41</v>
      </c>
      <c r="O201" s="8" t="s">
        <v>42</v>
      </c>
      <c r="P201" s="6" t="s">
        <v>43</v>
      </c>
      <c r="Q201" s="8" t="s">
        <v>44</v>
      </c>
      <c r="R201" s="10" t="s">
        <v>1310</v>
      </c>
      <c r="S201" s="11" t="s">
        <v>1311</v>
      </c>
      <c r="T201" s="6"/>
      <c r="U201" s="28" t="str">
        <f>HYPERLINK("https://media.infra-m.ru/0983/0983553/cover/983553.jpg", "Обложка")</f>
        <v>Обложка</v>
      </c>
      <c r="V201" s="28" t="str">
        <f>HYPERLINK("https://znanium.ru/catalog/product/2155745", "Ознакомиться")</f>
        <v>Ознакомиться</v>
      </c>
      <c r="W201" s="8" t="s">
        <v>1297</v>
      </c>
      <c r="X201" s="6"/>
      <c r="Y201" s="6"/>
      <c r="Z201" s="6"/>
      <c r="AA201" s="6" t="s">
        <v>48</v>
      </c>
    </row>
    <row r="202" spans="1:27" s="4" customFormat="1" ht="51.95" customHeight="1">
      <c r="A202" s="5">
        <v>0</v>
      </c>
      <c r="B202" s="6" t="s">
        <v>1312</v>
      </c>
      <c r="C202" s="13">
        <v>820</v>
      </c>
      <c r="D202" s="8" t="s">
        <v>1313</v>
      </c>
      <c r="E202" s="8" t="s">
        <v>1307</v>
      </c>
      <c r="F202" s="8" t="s">
        <v>1314</v>
      </c>
      <c r="G202" s="6" t="s">
        <v>117</v>
      </c>
      <c r="H202" s="6" t="s">
        <v>126</v>
      </c>
      <c r="I202" s="8" t="s">
        <v>53</v>
      </c>
      <c r="J202" s="9">
        <v>1</v>
      </c>
      <c r="K202" s="9">
        <v>176</v>
      </c>
      <c r="L202" s="9">
        <v>2024</v>
      </c>
      <c r="M202" s="8" t="s">
        <v>1315</v>
      </c>
      <c r="N202" s="8" t="s">
        <v>41</v>
      </c>
      <c r="O202" s="8" t="s">
        <v>42</v>
      </c>
      <c r="P202" s="6" t="s">
        <v>43</v>
      </c>
      <c r="Q202" s="8" t="s">
        <v>55</v>
      </c>
      <c r="R202" s="10" t="s">
        <v>1316</v>
      </c>
      <c r="S202" s="11" t="s">
        <v>1317</v>
      </c>
      <c r="T202" s="6"/>
      <c r="U202" s="28" t="str">
        <f>HYPERLINK("https://media.infra-m.ru/2116/2116909/cover/2116909.jpg", "Обложка")</f>
        <v>Обложка</v>
      </c>
      <c r="V202" s="28" t="str">
        <f>HYPERLINK("https://znanium.ru/catalog/product/2116909", "Ознакомиться")</f>
        <v>Ознакомиться</v>
      </c>
      <c r="W202" s="8" t="s">
        <v>1297</v>
      </c>
      <c r="X202" s="6"/>
      <c r="Y202" s="6"/>
      <c r="Z202" s="6" t="s">
        <v>58</v>
      </c>
      <c r="AA202" s="6" t="s">
        <v>59</v>
      </c>
    </row>
    <row r="203" spans="1:27" s="4" customFormat="1" ht="51.95" customHeight="1">
      <c r="A203" s="5">
        <v>0</v>
      </c>
      <c r="B203" s="6" t="s">
        <v>1318</v>
      </c>
      <c r="C203" s="7">
        <v>1510</v>
      </c>
      <c r="D203" s="8" t="s">
        <v>1319</v>
      </c>
      <c r="E203" s="8" t="s">
        <v>1320</v>
      </c>
      <c r="F203" s="8" t="s">
        <v>1321</v>
      </c>
      <c r="G203" s="6" t="s">
        <v>52</v>
      </c>
      <c r="H203" s="6" t="s">
        <v>38</v>
      </c>
      <c r="I203" s="8" t="s">
        <v>39</v>
      </c>
      <c r="J203" s="9">
        <v>1</v>
      </c>
      <c r="K203" s="9">
        <v>336</v>
      </c>
      <c r="L203" s="9">
        <v>2019</v>
      </c>
      <c r="M203" s="8" t="s">
        <v>1322</v>
      </c>
      <c r="N203" s="8" t="s">
        <v>41</v>
      </c>
      <c r="O203" s="8" t="s">
        <v>42</v>
      </c>
      <c r="P203" s="6" t="s">
        <v>66</v>
      </c>
      <c r="Q203" s="8" t="s">
        <v>44</v>
      </c>
      <c r="R203" s="10" t="s">
        <v>385</v>
      </c>
      <c r="S203" s="11" t="s">
        <v>1323</v>
      </c>
      <c r="T203" s="6"/>
      <c r="U203" s="28" t="str">
        <f>HYPERLINK("https://media.infra-m.ru/1960/1960132/cover/1960132.jpg", "Обложка")</f>
        <v>Обложка</v>
      </c>
      <c r="V203" s="28" t="str">
        <f>HYPERLINK("https://znanium.ru/catalog/product/1058537", "Ознакомиться")</f>
        <v>Ознакомиться</v>
      </c>
      <c r="W203" s="8" t="s">
        <v>886</v>
      </c>
      <c r="X203" s="6"/>
      <c r="Y203" s="6"/>
      <c r="Z203" s="6"/>
      <c r="AA203" s="6" t="s">
        <v>48</v>
      </c>
    </row>
    <row r="204" spans="1:27" s="4" customFormat="1" ht="42" customHeight="1">
      <c r="A204" s="5">
        <v>0</v>
      </c>
      <c r="B204" s="6" t="s">
        <v>1324</v>
      </c>
      <c r="C204" s="13">
        <v>730</v>
      </c>
      <c r="D204" s="8" t="s">
        <v>1325</v>
      </c>
      <c r="E204" s="8" t="s">
        <v>1326</v>
      </c>
      <c r="F204" s="8" t="s">
        <v>1327</v>
      </c>
      <c r="G204" s="6" t="s">
        <v>117</v>
      </c>
      <c r="H204" s="6" t="s">
        <v>361</v>
      </c>
      <c r="I204" s="8"/>
      <c r="J204" s="9">
        <v>1</v>
      </c>
      <c r="K204" s="9">
        <v>148</v>
      </c>
      <c r="L204" s="9">
        <v>2023</v>
      </c>
      <c r="M204" s="8" t="s">
        <v>1328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1329</v>
      </c>
      <c r="S204" s="11"/>
      <c r="T204" s="6"/>
      <c r="U204" s="28" t="str">
        <f>HYPERLINK("https://media.infra-m.ru/2069/2069332/cover/2069332.jpg", "Обложка")</f>
        <v>Обложка</v>
      </c>
      <c r="V204" s="28" t="str">
        <f>HYPERLINK("https://znanium.ru/catalog/product/2069332", "Ознакомиться")</f>
        <v>Ознакомиться</v>
      </c>
      <c r="W204" s="8" t="s">
        <v>47</v>
      </c>
      <c r="X204" s="6"/>
      <c r="Y204" s="6"/>
      <c r="Z204" s="6"/>
      <c r="AA204" s="6" t="s">
        <v>112</v>
      </c>
    </row>
    <row r="205" spans="1:27" s="4" customFormat="1" ht="42" customHeight="1">
      <c r="A205" s="5">
        <v>0</v>
      </c>
      <c r="B205" s="6" t="s">
        <v>1330</v>
      </c>
      <c r="C205" s="7">
        <v>1430</v>
      </c>
      <c r="D205" s="8" t="s">
        <v>1331</v>
      </c>
      <c r="E205" s="8" t="s">
        <v>1332</v>
      </c>
      <c r="F205" s="8" t="s">
        <v>1333</v>
      </c>
      <c r="G205" s="6" t="s">
        <v>117</v>
      </c>
      <c r="H205" s="6" t="s">
        <v>38</v>
      </c>
      <c r="I205" s="8" t="s">
        <v>106</v>
      </c>
      <c r="J205" s="9">
        <v>1</v>
      </c>
      <c r="K205" s="9">
        <v>306</v>
      </c>
      <c r="L205" s="9">
        <v>2021</v>
      </c>
      <c r="M205" s="8" t="s">
        <v>1334</v>
      </c>
      <c r="N205" s="8" t="s">
        <v>41</v>
      </c>
      <c r="O205" s="8" t="s">
        <v>42</v>
      </c>
      <c r="P205" s="6" t="s">
        <v>108</v>
      </c>
      <c r="Q205" s="8" t="s">
        <v>109</v>
      </c>
      <c r="R205" s="10" t="s">
        <v>1335</v>
      </c>
      <c r="S205" s="11"/>
      <c r="T205" s="6"/>
      <c r="U205" s="28" t="str">
        <f>HYPERLINK("https://media.infra-m.ru/1154/1154383/cover/1154383.jpg", "Обложка")</f>
        <v>Обложка</v>
      </c>
      <c r="V205" s="28" t="str">
        <f>HYPERLINK("https://znanium.ru/catalog/product/1154383", "Ознакомиться")</f>
        <v>Ознакомиться</v>
      </c>
      <c r="W205" s="8" t="s">
        <v>1336</v>
      </c>
      <c r="X205" s="6"/>
      <c r="Y205" s="6"/>
      <c r="Z205" s="6"/>
      <c r="AA205" s="6" t="s">
        <v>137</v>
      </c>
    </row>
    <row r="206" spans="1:27" s="4" customFormat="1" ht="51.95" customHeight="1">
      <c r="A206" s="5">
        <v>0</v>
      </c>
      <c r="B206" s="6" t="s">
        <v>1337</v>
      </c>
      <c r="C206" s="13">
        <v>370</v>
      </c>
      <c r="D206" s="8" t="s">
        <v>1338</v>
      </c>
      <c r="E206" s="8" t="s">
        <v>1339</v>
      </c>
      <c r="F206" s="8" t="s">
        <v>1340</v>
      </c>
      <c r="G206" s="6" t="s">
        <v>117</v>
      </c>
      <c r="H206" s="6" t="s">
        <v>126</v>
      </c>
      <c r="I206" s="8" t="s">
        <v>53</v>
      </c>
      <c r="J206" s="9">
        <v>1</v>
      </c>
      <c r="K206" s="9">
        <v>96</v>
      </c>
      <c r="L206" s="9">
        <v>2022</v>
      </c>
      <c r="M206" s="8" t="s">
        <v>1341</v>
      </c>
      <c r="N206" s="8" t="s">
        <v>41</v>
      </c>
      <c r="O206" s="8" t="s">
        <v>42</v>
      </c>
      <c r="P206" s="6" t="s">
        <v>43</v>
      </c>
      <c r="Q206" s="8" t="s">
        <v>55</v>
      </c>
      <c r="R206" s="10" t="s">
        <v>1342</v>
      </c>
      <c r="S206" s="11" t="s">
        <v>1343</v>
      </c>
      <c r="T206" s="6"/>
      <c r="U206" s="28" t="str">
        <f>HYPERLINK("https://media.infra-m.ru/1864/1864138/cover/1864138.jpg", "Обложка")</f>
        <v>Обложка</v>
      </c>
      <c r="V206" s="28" t="str">
        <f>HYPERLINK("https://znanium.ru/catalog/product/1864138", "Ознакомиться")</f>
        <v>Ознакомиться</v>
      </c>
      <c r="W206" s="8" t="s">
        <v>1297</v>
      </c>
      <c r="X206" s="6"/>
      <c r="Y206" s="6"/>
      <c r="Z206" s="6" t="s">
        <v>58</v>
      </c>
      <c r="AA206" s="6" t="s">
        <v>137</v>
      </c>
    </row>
    <row r="207" spans="1:27" s="4" customFormat="1" ht="51.95" customHeight="1">
      <c r="A207" s="5">
        <v>0</v>
      </c>
      <c r="B207" s="6" t="s">
        <v>1344</v>
      </c>
      <c r="C207" s="13">
        <v>484</v>
      </c>
      <c r="D207" s="8" t="s">
        <v>1345</v>
      </c>
      <c r="E207" s="8" t="s">
        <v>1339</v>
      </c>
      <c r="F207" s="8" t="s">
        <v>1346</v>
      </c>
      <c r="G207" s="6" t="s">
        <v>117</v>
      </c>
      <c r="H207" s="6" t="s">
        <v>126</v>
      </c>
      <c r="I207" s="8" t="s">
        <v>64</v>
      </c>
      <c r="J207" s="9">
        <v>1</v>
      </c>
      <c r="K207" s="9">
        <v>96</v>
      </c>
      <c r="L207" s="9">
        <v>2024</v>
      </c>
      <c r="M207" s="8" t="s">
        <v>1347</v>
      </c>
      <c r="N207" s="8" t="s">
        <v>41</v>
      </c>
      <c r="O207" s="8" t="s">
        <v>42</v>
      </c>
      <c r="P207" s="6" t="s">
        <v>43</v>
      </c>
      <c r="Q207" s="8" t="s">
        <v>44</v>
      </c>
      <c r="R207" s="10" t="s">
        <v>1348</v>
      </c>
      <c r="S207" s="11" t="s">
        <v>1349</v>
      </c>
      <c r="T207" s="6"/>
      <c r="U207" s="28" t="str">
        <f>HYPERLINK("https://media.infra-m.ru/2087/2087258/cover/2087258.jpg", "Обложка")</f>
        <v>Обложка</v>
      </c>
      <c r="V207" s="28" t="str">
        <f>HYPERLINK("https://znanium.ru/catalog/product/1081377", "Ознакомиться")</f>
        <v>Ознакомиться</v>
      </c>
      <c r="W207" s="8" t="s">
        <v>1297</v>
      </c>
      <c r="X207" s="6"/>
      <c r="Y207" s="6"/>
      <c r="Z207" s="6"/>
      <c r="AA207" s="6" t="s">
        <v>48</v>
      </c>
    </row>
    <row r="208" spans="1:27" s="4" customFormat="1" ht="44.1" customHeight="1">
      <c r="A208" s="5">
        <v>0</v>
      </c>
      <c r="B208" s="6" t="s">
        <v>1350</v>
      </c>
      <c r="C208" s="13">
        <v>899.9</v>
      </c>
      <c r="D208" s="8" t="s">
        <v>1351</v>
      </c>
      <c r="E208" s="8" t="s">
        <v>1352</v>
      </c>
      <c r="F208" s="8" t="s">
        <v>1353</v>
      </c>
      <c r="G208" s="6" t="s">
        <v>37</v>
      </c>
      <c r="H208" s="6" t="s">
        <v>38</v>
      </c>
      <c r="I208" s="8" t="s">
        <v>39</v>
      </c>
      <c r="J208" s="9">
        <v>10</v>
      </c>
      <c r="K208" s="9">
        <v>516</v>
      </c>
      <c r="L208" s="9">
        <v>2015</v>
      </c>
      <c r="M208" s="8" t="s">
        <v>1354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1355</v>
      </c>
      <c r="S208" s="11"/>
      <c r="T208" s="6"/>
      <c r="U208" s="28" t="str">
        <f>HYPERLINK("https://media.infra-m.ru/0483/0483152/cover/483152.jpg", "Обложка")</f>
        <v>Обложка</v>
      </c>
      <c r="V208" s="28" t="str">
        <f>HYPERLINK("https://znanium.ru/catalog/product/483152", "Ознакомиться")</f>
        <v>Ознакомиться</v>
      </c>
      <c r="W208" s="8" t="s">
        <v>1356</v>
      </c>
      <c r="X208" s="6"/>
      <c r="Y208" s="6"/>
      <c r="Z208" s="6"/>
      <c r="AA208" s="6" t="s">
        <v>96</v>
      </c>
    </row>
    <row r="209" spans="1:5" s="15" customFormat="1" ht="21.95" customHeight="1"/>
    <row r="210" spans="1:5" ht="15.95" customHeight="1">
      <c r="A210" s="25" t="s">
        <v>23</v>
      </c>
      <c r="B210" s="25"/>
    </row>
    <row r="211" spans="1:5" s="16" customFormat="1" ht="12.95" customHeight="1">
      <c r="A211" s="26" t="s">
        <v>1357</v>
      </c>
      <c r="B211" s="26"/>
      <c r="C211" s="26" t="s">
        <v>1358</v>
      </c>
      <c r="D211" s="26"/>
      <c r="E211" s="26"/>
    </row>
    <row r="212" spans="1:5" s="16" customFormat="1" ht="12.95" customHeight="1">
      <c r="A212" s="26" t="s">
        <v>1359</v>
      </c>
      <c r="B212" s="26"/>
      <c r="C212" s="26" t="s">
        <v>1360</v>
      </c>
      <c r="D212" s="26"/>
      <c r="E212" s="26"/>
    </row>
    <row r="213" spans="1:5" s="16" customFormat="1" ht="12.95" customHeight="1">
      <c r="A213" s="26" t="s">
        <v>1361</v>
      </c>
      <c r="B213" s="26"/>
      <c r="C213" s="26" t="s">
        <v>1360</v>
      </c>
      <c r="D213" s="26"/>
      <c r="E213" s="26"/>
    </row>
    <row r="214" spans="1:5" s="16" customFormat="1" ht="12.95" customHeight="1">
      <c r="A214" s="26" t="s">
        <v>1362</v>
      </c>
      <c r="B214" s="26"/>
      <c r="C214" s="26" t="s">
        <v>1360</v>
      </c>
      <c r="D214" s="26"/>
      <c r="E214" s="26"/>
    </row>
    <row r="215" spans="1:5" s="16" customFormat="1" ht="12.95" customHeight="1">
      <c r="A215" s="26" t="s">
        <v>1363</v>
      </c>
      <c r="B215" s="26"/>
      <c r="C215" s="26" t="s">
        <v>1364</v>
      </c>
      <c r="D215" s="26"/>
      <c r="E215" s="26"/>
    </row>
    <row r="216" spans="1:5" s="16" customFormat="1" ht="12.95" customHeight="1">
      <c r="A216" s="26" t="s">
        <v>1365</v>
      </c>
      <c r="B216" s="26"/>
      <c r="C216" s="26" t="s">
        <v>1366</v>
      </c>
      <c r="D216" s="26"/>
      <c r="E216" s="26"/>
    </row>
    <row r="217" spans="1:5" s="16" customFormat="1" ht="12.95" customHeight="1">
      <c r="A217" s="26" t="s">
        <v>1367</v>
      </c>
      <c r="B217" s="26"/>
      <c r="C217" s="26" t="s">
        <v>1368</v>
      </c>
      <c r="D217" s="26"/>
      <c r="E217" s="26"/>
    </row>
    <row r="218" spans="1:5" s="16" customFormat="1" ht="12.95" customHeight="1">
      <c r="A218" s="26" t="s">
        <v>1369</v>
      </c>
      <c r="B218" s="26"/>
      <c r="C218" s="26" t="s">
        <v>1370</v>
      </c>
      <c r="D218" s="26"/>
      <c r="E218" s="26"/>
    </row>
    <row r="219" spans="1:5" s="16" customFormat="1" ht="12.95" customHeight="1">
      <c r="A219" s="26" t="s">
        <v>1371</v>
      </c>
      <c r="B219" s="26"/>
      <c r="C219" s="26" t="s">
        <v>1372</v>
      </c>
      <c r="D219" s="26"/>
      <c r="E219" s="26"/>
    </row>
    <row r="220" spans="1:5" s="16" customFormat="1" ht="12.95" customHeight="1">
      <c r="A220" s="26" t="s">
        <v>1373</v>
      </c>
      <c r="B220" s="26"/>
      <c r="C220" s="26" t="s">
        <v>1374</v>
      </c>
      <c r="D220" s="26"/>
      <c r="E220" s="26"/>
    </row>
    <row r="221" spans="1:5" s="16" customFormat="1" ht="12.95" customHeight="1">
      <c r="A221" s="26" t="s">
        <v>1375</v>
      </c>
      <c r="B221" s="26"/>
      <c r="C221" s="26" t="s">
        <v>1376</v>
      </c>
      <c r="D221" s="26"/>
      <c r="E221" s="26"/>
    </row>
    <row r="222" spans="1:5" s="16" customFormat="1" ht="12.95" customHeight="1">
      <c r="A222" s="26" t="s">
        <v>1377</v>
      </c>
      <c r="B222" s="26"/>
      <c r="C222" s="26" t="s">
        <v>1378</v>
      </c>
      <c r="D222" s="26"/>
      <c r="E222" s="26"/>
    </row>
    <row r="223" spans="1:5" s="16" customFormat="1" ht="12.95" customHeight="1">
      <c r="A223" s="26" t="s">
        <v>1379</v>
      </c>
      <c r="B223" s="26"/>
      <c r="C223" s="26" t="s">
        <v>1372</v>
      </c>
      <c r="D223" s="26"/>
      <c r="E223" s="26"/>
    </row>
    <row r="224" spans="1:5" s="16" customFormat="1" ht="12.95" customHeight="1">
      <c r="A224" s="26" t="s">
        <v>1380</v>
      </c>
      <c r="B224" s="26"/>
      <c r="C224" s="26" t="s">
        <v>1381</v>
      </c>
      <c r="D224" s="26"/>
      <c r="E224" s="26"/>
    </row>
    <row r="225" spans="1:5" s="16" customFormat="1" ht="12.95" customHeight="1">
      <c r="A225" s="26" t="s">
        <v>1382</v>
      </c>
      <c r="B225" s="26"/>
      <c r="C225" s="26" t="s">
        <v>1383</v>
      </c>
      <c r="D225" s="26"/>
      <c r="E225" s="26"/>
    </row>
    <row r="226" spans="1:5" s="16" customFormat="1" ht="12.95" customHeight="1">
      <c r="A226" s="26" t="s">
        <v>1384</v>
      </c>
      <c r="B226" s="26"/>
      <c r="C226" s="26" t="s">
        <v>1385</v>
      </c>
      <c r="D226" s="26"/>
      <c r="E226" s="26"/>
    </row>
    <row r="227" spans="1:5" s="16" customFormat="1" ht="12.95" customHeight="1">
      <c r="A227" s="26" t="s">
        <v>1386</v>
      </c>
      <c r="B227" s="26"/>
      <c r="C227" s="26" t="s">
        <v>1383</v>
      </c>
      <c r="D227" s="26"/>
      <c r="E227" s="26"/>
    </row>
    <row r="228" spans="1:5" s="16" customFormat="1" ht="12.95" customHeight="1">
      <c r="A228" s="26" t="s">
        <v>1387</v>
      </c>
      <c r="B228" s="26"/>
      <c r="C228" s="26" t="s">
        <v>1385</v>
      </c>
      <c r="D228" s="26"/>
      <c r="E228" s="26"/>
    </row>
    <row r="229" spans="1:5" s="16" customFormat="1" ht="12.95" customHeight="1">
      <c r="A229" s="26" t="s">
        <v>1388</v>
      </c>
      <c r="B229" s="26"/>
      <c r="C229" s="26" t="s">
        <v>1389</v>
      </c>
      <c r="D229" s="26"/>
      <c r="E229" s="26"/>
    </row>
    <row r="230" spans="1:5" s="16" customFormat="1" ht="12.95" customHeight="1">
      <c r="A230" s="26" t="s">
        <v>1390</v>
      </c>
      <c r="B230" s="26"/>
      <c r="C230" s="26" t="s">
        <v>1391</v>
      </c>
      <c r="D230" s="26"/>
      <c r="E230" s="26"/>
    </row>
    <row r="231" spans="1:5" s="16" customFormat="1" ht="12.95" customHeight="1">
      <c r="A231" s="26" t="s">
        <v>1392</v>
      </c>
      <c r="B231" s="26"/>
      <c r="C231" s="26" t="s">
        <v>1393</v>
      </c>
      <c r="D231" s="26"/>
      <c r="E231" s="26"/>
    </row>
    <row r="232" spans="1:5" s="16" customFormat="1" ht="12.95" customHeight="1">
      <c r="A232" s="26" t="s">
        <v>1394</v>
      </c>
      <c r="B232" s="26"/>
      <c r="C232" s="26" t="s">
        <v>1395</v>
      </c>
      <c r="D232" s="26"/>
      <c r="E232" s="26"/>
    </row>
    <row r="233" spans="1:5" s="16" customFormat="1" ht="12.95" customHeight="1">
      <c r="A233" s="26" t="s">
        <v>1396</v>
      </c>
      <c r="B233" s="26"/>
      <c r="C233" s="26" t="s">
        <v>1397</v>
      </c>
      <c r="D233" s="26"/>
      <c r="E233" s="26"/>
    </row>
    <row r="234" spans="1:5" s="16" customFormat="1" ht="12.95" customHeight="1">
      <c r="A234" s="26" t="s">
        <v>1398</v>
      </c>
      <c r="B234" s="26"/>
      <c r="C234" s="26" t="s">
        <v>1399</v>
      </c>
      <c r="D234" s="26"/>
      <c r="E234" s="26"/>
    </row>
    <row r="235" spans="1:5" s="16" customFormat="1" ht="12.95" customHeight="1">
      <c r="A235" s="26" t="s">
        <v>1400</v>
      </c>
      <c r="B235" s="26"/>
      <c r="C235" s="26" t="s">
        <v>1401</v>
      </c>
      <c r="D235" s="26"/>
      <c r="E235" s="26"/>
    </row>
    <row r="236" spans="1:5" s="16" customFormat="1" ht="12.95" customHeight="1">
      <c r="A236" s="26" t="s">
        <v>1402</v>
      </c>
      <c r="B236" s="26"/>
      <c r="C236" s="26" t="s">
        <v>1403</v>
      </c>
      <c r="D236" s="26"/>
      <c r="E236" s="26"/>
    </row>
    <row r="237" spans="1:5" s="16" customFormat="1" ht="12.95" customHeight="1">
      <c r="A237" s="26" t="s">
        <v>891</v>
      </c>
      <c r="B237" s="26"/>
      <c r="C237" s="26" t="s">
        <v>1404</v>
      </c>
      <c r="D237" s="26"/>
      <c r="E237" s="26"/>
    </row>
    <row r="238" spans="1:5" s="16" customFormat="1" ht="12.95" customHeight="1">
      <c r="A238" s="26" t="s">
        <v>1405</v>
      </c>
      <c r="B238" s="26"/>
      <c r="C238" s="26" t="s">
        <v>1406</v>
      </c>
      <c r="D238" s="26"/>
      <c r="E238" s="26"/>
    </row>
    <row r="239" spans="1:5" s="16" customFormat="1" ht="12.95" customHeight="1">
      <c r="A239" s="26" t="s">
        <v>1348</v>
      </c>
      <c r="B239" s="26"/>
      <c r="C239" s="26" t="s">
        <v>1407</v>
      </c>
      <c r="D239" s="26"/>
      <c r="E239" s="26"/>
    </row>
    <row r="240" spans="1:5" s="16" customFormat="1" ht="12.95" customHeight="1">
      <c r="A240" s="26" t="s">
        <v>1408</v>
      </c>
      <c r="B240" s="26"/>
      <c r="C240" s="26" t="s">
        <v>1409</v>
      </c>
      <c r="D240" s="26"/>
      <c r="E240" s="26"/>
    </row>
    <row r="241" spans="1:5" s="16" customFormat="1" ht="12.95" customHeight="1">
      <c r="A241" s="26" t="s">
        <v>1410</v>
      </c>
      <c r="B241" s="26"/>
      <c r="C241" s="26" t="s">
        <v>1411</v>
      </c>
      <c r="D241" s="26"/>
      <c r="E241" s="26"/>
    </row>
    <row r="242" spans="1:5" s="16" customFormat="1" ht="12.95" customHeight="1">
      <c r="A242" s="26" t="s">
        <v>1412</v>
      </c>
      <c r="B242" s="26"/>
      <c r="C242" s="26" t="s">
        <v>1413</v>
      </c>
      <c r="D242" s="26"/>
      <c r="E242" s="26"/>
    </row>
    <row r="243" spans="1:5" s="16" customFormat="1" ht="12.95" customHeight="1">
      <c r="A243" s="26" t="s">
        <v>1414</v>
      </c>
      <c r="B243" s="26"/>
      <c r="C243" s="26" t="s">
        <v>1415</v>
      </c>
      <c r="D243" s="26"/>
      <c r="E243" s="26"/>
    </row>
    <row r="244" spans="1:5" s="16" customFormat="1" ht="12.95" customHeight="1">
      <c r="A244" s="26" t="s">
        <v>1416</v>
      </c>
      <c r="B244" s="26"/>
      <c r="C244" s="26" t="s">
        <v>1417</v>
      </c>
      <c r="D244" s="26"/>
      <c r="E244" s="26"/>
    </row>
    <row r="245" spans="1:5" s="16" customFormat="1" ht="12.95" customHeight="1">
      <c r="A245" s="26" t="s">
        <v>1418</v>
      </c>
      <c r="B245" s="26"/>
      <c r="C245" s="26" t="s">
        <v>1419</v>
      </c>
      <c r="D245" s="26"/>
      <c r="E245" s="26"/>
    </row>
    <row r="246" spans="1:5" s="16" customFormat="1" ht="12.95" customHeight="1">
      <c r="A246" s="26" t="s">
        <v>746</v>
      </c>
      <c r="B246" s="26"/>
      <c r="C246" s="26" t="s">
        <v>1420</v>
      </c>
      <c r="D246" s="26"/>
      <c r="E246" s="26"/>
    </row>
    <row r="247" spans="1:5" s="16" customFormat="1" ht="26.1" customHeight="1">
      <c r="A247" s="26" t="s">
        <v>1421</v>
      </c>
      <c r="B247" s="26"/>
      <c r="C247" s="26" t="s">
        <v>1422</v>
      </c>
      <c r="D247" s="26"/>
      <c r="E247" s="26"/>
    </row>
    <row r="248" spans="1:5" s="16" customFormat="1" ht="12.95" customHeight="1">
      <c r="A248" s="26" t="s">
        <v>1423</v>
      </c>
      <c r="B248" s="26"/>
      <c r="C248" s="26" t="s">
        <v>1424</v>
      </c>
      <c r="D248" s="26"/>
      <c r="E248" s="26"/>
    </row>
    <row r="249" spans="1:5" s="16" customFormat="1" ht="12.95" customHeight="1">
      <c r="A249" s="26" t="s">
        <v>1425</v>
      </c>
      <c r="B249" s="26"/>
      <c r="C249" s="26" t="s">
        <v>1426</v>
      </c>
      <c r="D249" s="26"/>
      <c r="E249" s="26"/>
    </row>
    <row r="250" spans="1:5" s="16" customFormat="1" ht="12.95" customHeight="1">
      <c r="A250" s="26" t="s">
        <v>1427</v>
      </c>
      <c r="B250" s="26"/>
      <c r="C250" s="26" t="s">
        <v>1428</v>
      </c>
      <c r="D250" s="26"/>
      <c r="E250" s="26"/>
    </row>
    <row r="251" spans="1:5" s="16" customFormat="1" ht="12.95" customHeight="1">
      <c r="A251" s="26" t="s">
        <v>1429</v>
      </c>
      <c r="B251" s="26"/>
      <c r="C251" s="26" t="s">
        <v>1430</v>
      </c>
      <c r="D251" s="26"/>
      <c r="E251" s="26"/>
    </row>
    <row r="252" spans="1:5" s="16" customFormat="1" ht="12.95" customHeight="1">
      <c r="A252" s="26" t="s">
        <v>1431</v>
      </c>
      <c r="B252" s="26"/>
      <c r="C252" s="26" t="s">
        <v>1432</v>
      </c>
      <c r="D252" s="26"/>
      <c r="E252" s="26"/>
    </row>
    <row r="253" spans="1:5" s="16" customFormat="1" ht="12.95" customHeight="1">
      <c r="A253" s="26" t="s">
        <v>1433</v>
      </c>
      <c r="B253" s="26"/>
      <c r="C253" s="26" t="s">
        <v>1426</v>
      </c>
      <c r="D253" s="26"/>
      <c r="E253" s="26"/>
    </row>
    <row r="254" spans="1:5" s="16" customFormat="1" ht="12.95" customHeight="1">
      <c r="A254" s="26" t="s">
        <v>1434</v>
      </c>
      <c r="B254" s="26"/>
      <c r="C254" s="26" t="s">
        <v>1428</v>
      </c>
      <c r="D254" s="26"/>
      <c r="E254" s="26"/>
    </row>
    <row r="255" spans="1:5" s="16" customFormat="1" ht="12.95" customHeight="1">
      <c r="A255" s="26" t="s">
        <v>1435</v>
      </c>
      <c r="B255" s="26"/>
      <c r="C255" s="26" t="s">
        <v>1430</v>
      </c>
      <c r="D255" s="26"/>
      <c r="E255" s="26"/>
    </row>
    <row r="256" spans="1:5" s="16" customFormat="1" ht="12.95" customHeight="1">
      <c r="A256" s="26" t="s">
        <v>1436</v>
      </c>
      <c r="B256" s="26"/>
      <c r="C256" s="26" t="s">
        <v>1432</v>
      </c>
      <c r="D256" s="26"/>
      <c r="E256" s="26"/>
    </row>
    <row r="257" spans="1:5" s="16" customFormat="1" ht="12.95" customHeight="1">
      <c r="A257" s="26" t="s">
        <v>1437</v>
      </c>
      <c r="B257" s="26"/>
      <c r="C257" s="26" t="s">
        <v>1438</v>
      </c>
      <c r="D257" s="26"/>
      <c r="E257" s="26"/>
    </row>
    <row r="258" spans="1:5" s="16" customFormat="1" ht="12.95" customHeight="1">
      <c r="A258" s="26" t="s">
        <v>1439</v>
      </c>
      <c r="B258" s="26"/>
      <c r="C258" s="26" t="s">
        <v>1440</v>
      </c>
      <c r="D258" s="26"/>
      <c r="E258" s="26"/>
    </row>
    <row r="259" spans="1:5" s="16" customFormat="1" ht="12.95" customHeight="1">
      <c r="A259" s="26" t="s">
        <v>1138</v>
      </c>
      <c r="B259" s="26"/>
      <c r="C259" s="26" t="s">
        <v>1441</v>
      </c>
      <c r="D259" s="26"/>
      <c r="E259" s="26"/>
    </row>
    <row r="260" spans="1:5" s="16" customFormat="1" ht="12.95" customHeight="1">
      <c r="A260" s="26" t="s">
        <v>1442</v>
      </c>
      <c r="B260" s="26"/>
      <c r="C260" s="26" t="s">
        <v>1443</v>
      </c>
      <c r="D260" s="26"/>
      <c r="E260" s="26"/>
    </row>
    <row r="261" spans="1:5" s="16" customFormat="1" ht="12.95" customHeight="1">
      <c r="A261" s="26" t="s">
        <v>1444</v>
      </c>
      <c r="B261" s="26"/>
      <c r="C261" s="26" t="s">
        <v>1441</v>
      </c>
      <c r="D261" s="26"/>
      <c r="E261" s="26"/>
    </row>
    <row r="262" spans="1:5" s="16" customFormat="1" ht="12.95" customHeight="1">
      <c r="A262" s="26" t="s">
        <v>1445</v>
      </c>
      <c r="B262" s="26"/>
      <c r="C262" s="26" t="s">
        <v>1443</v>
      </c>
      <c r="D262" s="26"/>
      <c r="E262" s="26"/>
    </row>
    <row r="263" spans="1:5" s="16" customFormat="1" ht="12.95" customHeight="1">
      <c r="A263" s="26" t="s">
        <v>1446</v>
      </c>
      <c r="B263" s="26"/>
      <c r="C263" s="26" t="s">
        <v>1443</v>
      </c>
      <c r="D263" s="26"/>
      <c r="E263" s="26"/>
    </row>
    <row r="264" spans="1:5" s="16" customFormat="1" ht="12.95" customHeight="1">
      <c r="A264" s="26" t="s">
        <v>1447</v>
      </c>
      <c r="B264" s="26"/>
      <c r="C264" s="26" t="s">
        <v>1448</v>
      </c>
      <c r="D264" s="26"/>
      <c r="E264" s="26"/>
    </row>
    <row r="265" spans="1:5" s="16" customFormat="1" ht="12.95" customHeight="1">
      <c r="A265" s="26" t="s">
        <v>1449</v>
      </c>
      <c r="B265" s="26"/>
      <c r="C265" s="26" t="s">
        <v>1450</v>
      </c>
      <c r="D265" s="26"/>
      <c r="E265" s="26"/>
    </row>
    <row r="266" spans="1:5" s="16" customFormat="1" ht="12.95" customHeight="1">
      <c r="A266" s="26" t="s">
        <v>1451</v>
      </c>
      <c r="B266" s="26"/>
      <c r="C266" s="26" t="s">
        <v>1452</v>
      </c>
      <c r="D266" s="26"/>
      <c r="E266" s="26"/>
    </row>
    <row r="267" spans="1:5" s="16" customFormat="1" ht="12.95" customHeight="1">
      <c r="A267" s="26" t="s">
        <v>1453</v>
      </c>
      <c r="B267" s="26"/>
      <c r="C267" s="26" t="s">
        <v>1454</v>
      </c>
      <c r="D267" s="26"/>
      <c r="E267" s="26"/>
    </row>
    <row r="268" spans="1:5" s="16" customFormat="1" ht="12.95" customHeight="1">
      <c r="A268" s="26" t="s">
        <v>1455</v>
      </c>
      <c r="B268" s="26"/>
      <c r="C268" s="26" t="s">
        <v>1456</v>
      </c>
      <c r="D268" s="26"/>
      <c r="E268" s="26"/>
    </row>
    <row r="269" spans="1:5" s="16" customFormat="1" ht="12.95" customHeight="1">
      <c r="A269" s="26" t="s">
        <v>1457</v>
      </c>
      <c r="B269" s="26"/>
      <c r="C269" s="26" t="s">
        <v>1458</v>
      </c>
      <c r="D269" s="26"/>
      <c r="E269" s="26"/>
    </row>
    <row r="270" spans="1:5" s="16" customFormat="1" ht="12.95" customHeight="1">
      <c r="A270" s="26" t="s">
        <v>1459</v>
      </c>
      <c r="B270" s="26"/>
      <c r="C270" s="26" t="s">
        <v>1460</v>
      </c>
      <c r="D270" s="26"/>
      <c r="E270" s="26"/>
    </row>
    <row r="271" spans="1:5" s="16" customFormat="1" ht="12.95" customHeight="1">
      <c r="A271" s="26" t="s">
        <v>1461</v>
      </c>
      <c r="B271" s="26"/>
      <c r="C271" s="26" t="s">
        <v>1460</v>
      </c>
      <c r="D271" s="26"/>
      <c r="E271" s="26"/>
    </row>
    <row r="272" spans="1:5" s="16" customFormat="1" ht="12.95" customHeight="1">
      <c r="A272" s="26" t="s">
        <v>1462</v>
      </c>
      <c r="B272" s="26"/>
      <c r="C272" s="26" t="s">
        <v>1463</v>
      </c>
      <c r="D272" s="26"/>
      <c r="E272" s="26"/>
    </row>
    <row r="273" spans="1:5" s="16" customFormat="1" ht="12.95" customHeight="1">
      <c r="A273" s="26" t="s">
        <v>1464</v>
      </c>
      <c r="B273" s="26"/>
      <c r="C273" s="26" t="s">
        <v>1465</v>
      </c>
      <c r="D273" s="26"/>
      <c r="E273" s="26"/>
    </row>
    <row r="274" spans="1:5" s="16" customFormat="1" ht="12.95" customHeight="1">
      <c r="A274" s="26" t="s">
        <v>1466</v>
      </c>
      <c r="B274" s="26"/>
      <c r="C274" s="26" t="s">
        <v>1467</v>
      </c>
      <c r="D274" s="26"/>
      <c r="E274" s="26"/>
    </row>
    <row r="275" spans="1:5" s="16" customFormat="1" ht="12.95" customHeight="1">
      <c r="A275" s="26" t="s">
        <v>1468</v>
      </c>
      <c r="B275" s="26"/>
      <c r="C275" s="26" t="s">
        <v>1469</v>
      </c>
      <c r="D275" s="26"/>
      <c r="E275" s="26"/>
    </row>
    <row r="276" spans="1:5" s="16" customFormat="1" ht="12.95" customHeight="1">
      <c r="A276" s="26" t="s">
        <v>1470</v>
      </c>
      <c r="B276" s="26"/>
      <c r="C276" s="26" t="s">
        <v>1471</v>
      </c>
      <c r="D276" s="26"/>
      <c r="E276" s="26"/>
    </row>
    <row r="277" spans="1:5" s="16" customFormat="1" ht="12.95" customHeight="1">
      <c r="A277" s="26" t="s">
        <v>1472</v>
      </c>
      <c r="B277" s="26"/>
      <c r="C277" s="26" t="s">
        <v>1473</v>
      </c>
      <c r="D277" s="26"/>
      <c r="E277" s="26"/>
    </row>
    <row r="278" spans="1:5" s="16" customFormat="1" ht="12.95" customHeight="1">
      <c r="A278" s="26" t="s">
        <v>1474</v>
      </c>
      <c r="B278" s="26"/>
      <c r="C278" s="26" t="s">
        <v>1475</v>
      </c>
      <c r="D278" s="26"/>
      <c r="E278" s="26"/>
    </row>
    <row r="279" spans="1:5" s="16" customFormat="1" ht="12.95" customHeight="1">
      <c r="A279" s="26" t="s">
        <v>1476</v>
      </c>
      <c r="B279" s="26"/>
      <c r="C279" s="26" t="s">
        <v>1477</v>
      </c>
      <c r="D279" s="26"/>
      <c r="E279" s="26"/>
    </row>
    <row r="280" spans="1:5" s="16" customFormat="1" ht="12.95" customHeight="1">
      <c r="A280" s="26" t="s">
        <v>1478</v>
      </c>
      <c r="B280" s="26"/>
      <c r="C280" s="26" t="s">
        <v>1479</v>
      </c>
      <c r="D280" s="26"/>
      <c r="E280" s="26"/>
    </row>
    <row r="281" spans="1:5" s="16" customFormat="1" ht="12.95" customHeight="1">
      <c r="A281" s="26" t="s">
        <v>1480</v>
      </c>
      <c r="B281" s="26"/>
      <c r="C281" s="26" t="s">
        <v>1481</v>
      </c>
      <c r="D281" s="26"/>
      <c r="E281" s="26"/>
    </row>
    <row r="282" spans="1:5" s="16" customFormat="1" ht="12.95" customHeight="1">
      <c r="A282" s="26" t="s">
        <v>622</v>
      </c>
      <c r="B282" s="26"/>
      <c r="C282" s="26" t="s">
        <v>1482</v>
      </c>
      <c r="D282" s="26"/>
      <c r="E282" s="26"/>
    </row>
    <row r="283" spans="1:5" s="16" customFormat="1" ht="12.95" customHeight="1">
      <c r="A283" s="26" t="s">
        <v>100</v>
      </c>
      <c r="B283" s="26"/>
      <c r="C283" s="26" t="s">
        <v>1483</v>
      </c>
      <c r="D283" s="26"/>
      <c r="E283" s="26"/>
    </row>
    <row r="284" spans="1:5" s="16" customFormat="1" ht="12.95" customHeight="1">
      <c r="A284" s="26" t="s">
        <v>865</v>
      </c>
      <c r="B284" s="26"/>
      <c r="C284" s="26" t="s">
        <v>1484</v>
      </c>
      <c r="D284" s="26"/>
      <c r="E284" s="26"/>
    </row>
    <row r="285" spans="1:5" s="16" customFormat="1" ht="12.95" customHeight="1">
      <c r="A285" s="26" t="s">
        <v>410</v>
      </c>
      <c r="B285" s="26"/>
      <c r="C285" s="26" t="s">
        <v>1485</v>
      </c>
      <c r="D285" s="26"/>
      <c r="E285" s="26"/>
    </row>
    <row r="286" spans="1:5" s="16" customFormat="1" ht="12.95" customHeight="1">
      <c r="A286" s="26" t="s">
        <v>225</v>
      </c>
      <c r="B286" s="26"/>
      <c r="C286" s="26" t="s">
        <v>1486</v>
      </c>
      <c r="D286" s="26"/>
      <c r="E286" s="26"/>
    </row>
    <row r="287" spans="1:5" s="16" customFormat="1" ht="12.95" customHeight="1">
      <c r="A287" s="26" t="s">
        <v>1487</v>
      </c>
      <c r="B287" s="26"/>
      <c r="C287" s="26" t="s">
        <v>1488</v>
      </c>
      <c r="D287" s="26"/>
      <c r="E287" s="26"/>
    </row>
    <row r="288" spans="1:5" s="16" customFormat="1" ht="12.95" customHeight="1">
      <c r="A288" s="26" t="s">
        <v>354</v>
      </c>
      <c r="B288" s="26"/>
      <c r="C288" s="26" t="s">
        <v>1489</v>
      </c>
      <c r="D288" s="26"/>
      <c r="E288" s="26"/>
    </row>
    <row r="289" spans="1:5" s="16" customFormat="1" ht="12.95" customHeight="1">
      <c r="A289" s="26" t="s">
        <v>597</v>
      </c>
      <c r="B289" s="26"/>
      <c r="C289" s="26" t="s">
        <v>1490</v>
      </c>
      <c r="D289" s="26"/>
      <c r="E289" s="26"/>
    </row>
    <row r="290" spans="1:5" s="16" customFormat="1" ht="12.95" customHeight="1">
      <c r="A290" s="26" t="s">
        <v>1491</v>
      </c>
      <c r="B290" s="26"/>
      <c r="C290" s="26" t="s">
        <v>1492</v>
      </c>
      <c r="D290" s="26"/>
      <c r="E290" s="26"/>
    </row>
    <row r="291" spans="1:5" s="16" customFormat="1" ht="12.95" customHeight="1">
      <c r="A291" s="26" t="s">
        <v>1493</v>
      </c>
      <c r="B291" s="26"/>
      <c r="C291" s="26" t="s">
        <v>1494</v>
      </c>
      <c r="D291" s="26"/>
      <c r="E291" s="26"/>
    </row>
    <row r="292" spans="1:5" s="16" customFormat="1" ht="12.95" customHeight="1">
      <c r="A292" s="26" t="s">
        <v>450</v>
      </c>
      <c r="B292" s="26"/>
      <c r="C292" s="26" t="s">
        <v>1483</v>
      </c>
      <c r="D292" s="26"/>
      <c r="E292" s="26"/>
    </row>
    <row r="293" spans="1:5" s="16" customFormat="1" ht="12.95" customHeight="1">
      <c r="A293" s="26" t="s">
        <v>405</v>
      </c>
      <c r="B293" s="26"/>
      <c r="C293" s="26" t="s">
        <v>1495</v>
      </c>
      <c r="D293" s="26"/>
      <c r="E293" s="26"/>
    </row>
    <row r="294" spans="1:5" s="16" customFormat="1" ht="12.95" customHeight="1">
      <c r="A294" s="26" t="s">
        <v>385</v>
      </c>
      <c r="B294" s="26"/>
      <c r="C294" s="26" t="s">
        <v>1496</v>
      </c>
      <c r="D294" s="26"/>
      <c r="E294" s="26"/>
    </row>
    <row r="295" spans="1:5" s="16" customFormat="1" ht="12.95" customHeight="1">
      <c r="A295" s="26" t="s">
        <v>128</v>
      </c>
      <c r="B295" s="26"/>
      <c r="C295" s="26" t="s">
        <v>1497</v>
      </c>
      <c r="D295" s="26"/>
      <c r="E295" s="26"/>
    </row>
    <row r="296" spans="1:5" s="16" customFormat="1" ht="12.95" customHeight="1">
      <c r="A296" s="26" t="s">
        <v>1498</v>
      </c>
      <c r="B296" s="26"/>
      <c r="C296" s="26" t="s">
        <v>1499</v>
      </c>
      <c r="D296" s="26"/>
      <c r="E296" s="26"/>
    </row>
    <row r="297" spans="1:5" s="16" customFormat="1" ht="12.95" customHeight="1">
      <c r="A297" s="26" t="s">
        <v>1500</v>
      </c>
      <c r="B297" s="26"/>
      <c r="C297" s="26" t="s">
        <v>1501</v>
      </c>
      <c r="D297" s="26"/>
      <c r="E297" s="26"/>
    </row>
    <row r="298" spans="1:5" s="16" customFormat="1" ht="12.95" customHeight="1">
      <c r="A298" s="26" t="s">
        <v>1502</v>
      </c>
      <c r="B298" s="26"/>
      <c r="C298" s="26" t="s">
        <v>1503</v>
      </c>
      <c r="D298" s="26"/>
      <c r="E298" s="26"/>
    </row>
    <row r="299" spans="1:5" s="16" customFormat="1" ht="12.95" customHeight="1">
      <c r="A299" s="26" t="s">
        <v>1504</v>
      </c>
      <c r="B299" s="26"/>
      <c r="C299" s="26" t="s">
        <v>1490</v>
      </c>
      <c r="D299" s="26"/>
      <c r="E299" s="26"/>
    </row>
    <row r="300" spans="1:5" s="16" customFormat="1" ht="12.95" customHeight="1">
      <c r="A300" s="26" t="s">
        <v>1505</v>
      </c>
      <c r="B300" s="26"/>
      <c r="C300" s="26" t="s">
        <v>1492</v>
      </c>
      <c r="D300" s="26"/>
      <c r="E300" s="26"/>
    </row>
    <row r="301" spans="1:5" s="16" customFormat="1" ht="12.95" customHeight="1">
      <c r="A301" s="26" t="s">
        <v>1506</v>
      </c>
      <c r="B301" s="26"/>
      <c r="C301" s="26" t="s">
        <v>1494</v>
      </c>
      <c r="D301" s="26"/>
      <c r="E301" s="26"/>
    </row>
    <row r="302" spans="1:5" s="16" customFormat="1" ht="12.95" customHeight="1">
      <c r="A302" s="26" t="s">
        <v>753</v>
      </c>
      <c r="B302" s="26"/>
      <c r="C302" s="26" t="s">
        <v>1483</v>
      </c>
      <c r="D302" s="26"/>
      <c r="E302" s="26"/>
    </row>
    <row r="303" spans="1:5" s="16" customFormat="1" ht="12.95" customHeight="1">
      <c r="A303" s="26" t="s">
        <v>1507</v>
      </c>
      <c r="B303" s="26"/>
      <c r="C303" s="26" t="s">
        <v>1495</v>
      </c>
      <c r="D303" s="26"/>
      <c r="E303" s="26"/>
    </row>
    <row r="304" spans="1:5" s="16" customFormat="1" ht="12.95" customHeight="1">
      <c r="A304" s="26" t="s">
        <v>644</v>
      </c>
      <c r="B304" s="26"/>
      <c r="C304" s="26" t="s">
        <v>1496</v>
      </c>
      <c r="D304" s="26"/>
      <c r="E304" s="26"/>
    </row>
    <row r="305" spans="1:5" s="16" customFormat="1" ht="12.95" customHeight="1">
      <c r="A305" s="26" t="s">
        <v>1508</v>
      </c>
      <c r="B305" s="26"/>
      <c r="C305" s="26" t="s">
        <v>1499</v>
      </c>
      <c r="D305" s="26"/>
      <c r="E305" s="26"/>
    </row>
    <row r="306" spans="1:5" s="16" customFormat="1" ht="12.95" customHeight="1">
      <c r="A306" s="26" t="s">
        <v>1509</v>
      </c>
      <c r="B306" s="26"/>
      <c r="C306" s="26" t="s">
        <v>1501</v>
      </c>
      <c r="D306" s="26"/>
      <c r="E306" s="26"/>
    </row>
    <row r="307" spans="1:5" s="16" customFormat="1" ht="12.95" customHeight="1">
      <c r="A307" s="26" t="s">
        <v>1510</v>
      </c>
      <c r="B307" s="26"/>
      <c r="C307" s="26" t="s">
        <v>42</v>
      </c>
      <c r="D307" s="26"/>
      <c r="E307" s="26"/>
    </row>
    <row r="308" spans="1:5" s="16" customFormat="1" ht="12.95" customHeight="1">
      <c r="A308" s="26" t="s">
        <v>1511</v>
      </c>
      <c r="B308" s="26"/>
      <c r="C308" s="26" t="s">
        <v>1512</v>
      </c>
      <c r="D308" s="26"/>
      <c r="E308" s="26"/>
    </row>
    <row r="309" spans="1:5" s="16" customFormat="1" ht="12.95" customHeight="1">
      <c r="A309" s="26" t="s">
        <v>1513</v>
      </c>
      <c r="B309" s="26"/>
      <c r="C309" s="26" t="s">
        <v>1514</v>
      </c>
      <c r="D309" s="26"/>
      <c r="E309" s="26"/>
    </row>
    <row r="310" spans="1:5" s="16" customFormat="1" ht="12.95" customHeight="1">
      <c r="A310" s="26" t="s">
        <v>1515</v>
      </c>
      <c r="B310" s="26"/>
      <c r="C310" s="26" t="s">
        <v>1516</v>
      </c>
      <c r="D310" s="26"/>
      <c r="E310" s="26"/>
    </row>
    <row r="311" spans="1:5" s="16" customFormat="1" ht="12.95" customHeight="1">
      <c r="A311" s="26" t="s">
        <v>1517</v>
      </c>
      <c r="B311" s="26"/>
      <c r="C311" s="26" t="s">
        <v>1518</v>
      </c>
      <c r="D311" s="26"/>
      <c r="E311" s="26"/>
    </row>
    <row r="312" spans="1:5" s="16" customFormat="1" ht="12.95" customHeight="1">
      <c r="A312" s="26" t="s">
        <v>1519</v>
      </c>
      <c r="B312" s="26"/>
      <c r="C312" s="26" t="s">
        <v>1520</v>
      </c>
      <c r="D312" s="26"/>
      <c r="E312" s="26"/>
    </row>
    <row r="313" spans="1:5" s="16" customFormat="1" ht="12.95" customHeight="1">
      <c r="A313" s="26" t="s">
        <v>240</v>
      </c>
      <c r="B313" s="26"/>
      <c r="C313" s="26" t="s">
        <v>1521</v>
      </c>
      <c r="D313" s="26"/>
      <c r="E313" s="26"/>
    </row>
    <row r="314" spans="1:5" s="16" customFormat="1" ht="12.95" customHeight="1">
      <c r="A314" s="26" t="s">
        <v>1522</v>
      </c>
      <c r="B314" s="26"/>
      <c r="C314" s="26" t="s">
        <v>1523</v>
      </c>
      <c r="D314" s="26"/>
      <c r="E314" s="26"/>
    </row>
    <row r="315" spans="1:5" s="16" customFormat="1" ht="12.95" customHeight="1">
      <c r="A315" s="26" t="s">
        <v>152</v>
      </c>
      <c r="B315" s="26"/>
      <c r="C315" s="26" t="s">
        <v>1521</v>
      </c>
      <c r="D315" s="26"/>
      <c r="E315" s="26"/>
    </row>
    <row r="316" spans="1:5" s="16" customFormat="1" ht="12.95" customHeight="1">
      <c r="A316" s="26" t="s">
        <v>265</v>
      </c>
      <c r="B316" s="26"/>
      <c r="C316" s="26" t="s">
        <v>1523</v>
      </c>
      <c r="D316" s="26"/>
      <c r="E316" s="26"/>
    </row>
    <row r="317" spans="1:5" s="16" customFormat="1" ht="12.95" customHeight="1">
      <c r="A317" s="26" t="s">
        <v>1524</v>
      </c>
      <c r="B317" s="26"/>
      <c r="C317" s="26" t="s">
        <v>1521</v>
      </c>
      <c r="D317" s="26"/>
      <c r="E317" s="26"/>
    </row>
    <row r="318" spans="1:5" s="16" customFormat="1" ht="12.95" customHeight="1">
      <c r="A318" s="26" t="s">
        <v>972</v>
      </c>
      <c r="B318" s="26"/>
      <c r="C318" s="26" t="s">
        <v>1520</v>
      </c>
      <c r="D318" s="26"/>
      <c r="E318" s="26"/>
    </row>
    <row r="319" spans="1:5" s="16" customFormat="1" ht="12.95" customHeight="1">
      <c r="A319" s="26" t="s">
        <v>1525</v>
      </c>
      <c r="B319" s="26"/>
      <c r="C319" s="26" t="s">
        <v>1526</v>
      </c>
      <c r="D319" s="26"/>
      <c r="E319" s="26"/>
    </row>
    <row r="320" spans="1:5" s="16" customFormat="1" ht="12.95" customHeight="1">
      <c r="A320" s="26" t="s">
        <v>1527</v>
      </c>
      <c r="B320" s="26"/>
      <c r="C320" s="26" t="s">
        <v>1528</v>
      </c>
      <c r="D320" s="26"/>
      <c r="E320" s="26"/>
    </row>
    <row r="321" spans="1:5" s="16" customFormat="1" ht="12.95" customHeight="1">
      <c r="A321" s="26" t="s">
        <v>1529</v>
      </c>
      <c r="B321" s="26"/>
      <c r="C321" s="26" t="s">
        <v>1530</v>
      </c>
      <c r="D321" s="26"/>
      <c r="E321" s="26"/>
    </row>
    <row r="322" spans="1:5" s="16" customFormat="1" ht="12.95" customHeight="1">
      <c r="A322" s="26" t="s">
        <v>1531</v>
      </c>
      <c r="B322" s="26"/>
      <c r="C322" s="26" t="s">
        <v>1532</v>
      </c>
      <c r="D322" s="26"/>
      <c r="E322" s="26"/>
    </row>
    <row r="323" spans="1:5" s="16" customFormat="1" ht="12.95" customHeight="1">
      <c r="A323" s="26" t="s">
        <v>1533</v>
      </c>
      <c r="B323" s="26"/>
      <c r="C323" s="26" t="s">
        <v>1534</v>
      </c>
      <c r="D323" s="26"/>
      <c r="E323" s="26"/>
    </row>
  </sheetData>
  <mergeCells count="235">
    <mergeCell ref="A321:B321"/>
    <mergeCell ref="C321:E321"/>
    <mergeCell ref="A322:B322"/>
    <mergeCell ref="C322:E322"/>
    <mergeCell ref="A323:B323"/>
    <mergeCell ref="C323:E323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30:B230"/>
    <mergeCell ref="C230:E23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5:B225"/>
    <mergeCell ref="C225:E22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1:E1"/>
    <mergeCell ref="F1:I5"/>
    <mergeCell ref="J1:O1"/>
    <mergeCell ref="A2:E2"/>
    <mergeCell ref="J2:O5"/>
    <mergeCell ref="A3:E3"/>
    <mergeCell ref="A4:E4"/>
    <mergeCell ref="A5:E5"/>
    <mergeCell ref="A210:B21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2024-05-13T20:24:42Z</dcterms:modified>
</cp:coreProperties>
</file>